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520" tabRatio="787" activeTab="0"/>
  </bookViews>
  <sheets>
    <sheet name="RES" sheetId="1" r:id="rId1"/>
    <sheet name="ORÇ" sheetId="2" r:id="rId2"/>
    <sheet name="CRON" sheetId="3" r:id="rId3"/>
    <sheet name="ABC" sheetId="4" r:id="rId4"/>
    <sheet name="COMPS" sheetId="5" r:id="rId5"/>
    <sheet name="TRANSP." sheetId="6" r:id="rId6"/>
    <sheet name="MEMORIA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'ORÇ'!$B$1:$B$162</definedName>
    <definedName name="_xlfn.AGGREGATE" hidden="1">#NAME?</definedName>
    <definedName name="_xlfn.CONCAT" hidden="1">#NAME?</definedName>
    <definedName name="_xlfn.COUNTIFS" hidden="1">#NAME?</definedName>
    <definedName name="_xlnm.Print_Area" localSheetId="3">'ABC'!$A$1:$I$117</definedName>
    <definedName name="_xlnm.Print_Area" localSheetId="4">'COMPS'!$A$1:$J$584</definedName>
    <definedName name="_xlnm.Print_Area" localSheetId="2">'CRON'!$A$1:$K$48</definedName>
    <definedName name="_xlnm.Print_Area" localSheetId="6">'MEMORIA'!$A$1:$O$398</definedName>
    <definedName name="_xlnm.Print_Area" localSheetId="1">'ORÇ'!$A$1:$I$163</definedName>
    <definedName name="_xlnm.Print_Area" localSheetId="0">'RES'!$A$1:$E$30</definedName>
    <definedName name="_xlnm.Print_Area" localSheetId="5">'TRANSP.'!$A$1:$S$150</definedName>
    <definedName name="_xlnm.Print_Titles" localSheetId="3">'ABC'!$1:$2</definedName>
    <definedName name="_xlnm.Print_Titles" localSheetId="6">'MEMORIA'!$1:$3</definedName>
    <definedName name="_xlnm.Print_Titles" localSheetId="1">'ORÇ'!$1:$6</definedName>
    <definedName name="_xlnm.Print_Titles" localSheetId="5">'TRANSP.'!$1:$3</definedName>
  </definedNames>
  <calcPr fullCalcOnLoad="1"/>
</workbook>
</file>

<file path=xl/sharedStrings.xml><?xml version="1.0" encoding="utf-8"?>
<sst xmlns="http://schemas.openxmlformats.org/spreadsheetml/2006/main" count="3273" uniqueCount="672">
  <si>
    <t>4.0</t>
  </si>
  <si>
    <t>ITEM</t>
  </si>
  <si>
    <t>DISCRIMINAÇÃO DO SERVIÇO</t>
  </si>
  <si>
    <t>1.0</t>
  </si>
  <si>
    <t>m³</t>
  </si>
  <si>
    <t>t</t>
  </si>
  <si>
    <t>2.0</t>
  </si>
  <si>
    <t>PAVIMENTAÇÃO</t>
  </si>
  <si>
    <t>3.0</t>
  </si>
  <si>
    <t>DISCRIMINAÇÃO</t>
  </si>
  <si>
    <t>VALOR PARCIAL R$</t>
  </si>
  <si>
    <t>VALOR P/ km R$</t>
  </si>
  <si>
    <t>%</t>
  </si>
  <si>
    <t>TOTAL GERAL</t>
  </si>
  <si>
    <t>DER-ES</t>
  </si>
  <si>
    <t>ÓRGÃO</t>
  </si>
  <si>
    <t>INSTALAÇÃO MANUT. CANTEIRO MOBILIZAÇÃO, DESMOBILIZAÇÃO, PLACAS DE OBRAS</t>
  </si>
  <si>
    <t>CÓD</t>
  </si>
  <si>
    <t>UNID</t>
  </si>
  <si>
    <t>QTDE</t>
  </si>
  <si>
    <t>mês</t>
  </si>
  <si>
    <t>% sobre o Total</t>
  </si>
  <si>
    <t>CRONOGRAMA FÍSICO - FINANCEIRO</t>
  </si>
  <si>
    <t>DISCRIMINAÇÃO DOS SERVIÇOS</t>
  </si>
  <si>
    <t>REPASSE</t>
  </si>
  <si>
    <t xml:space="preserve">VALOR DAS OBRAS </t>
  </si>
  <si>
    <t>4º MÊS (%)</t>
  </si>
  <si>
    <t>5º MÊS (%)</t>
  </si>
  <si>
    <t>6º MÊS (%)</t>
  </si>
  <si>
    <t>7º MÊS (%)</t>
  </si>
  <si>
    <t>R$</t>
  </si>
  <si>
    <t>PREVISÃO DE DESENBOLSO MENSAL</t>
  </si>
  <si>
    <t>DESEMBOLSO ACUMULADO</t>
  </si>
  <si>
    <t>% PARCIAL</t>
  </si>
  <si>
    <t>% ACUMULADA</t>
  </si>
  <si>
    <t>CANTEIRO DE OBRAS</t>
  </si>
  <si>
    <t>ADMINISTRAÇÃO LOCAL</t>
  </si>
  <si>
    <t>Administração Local</t>
  </si>
  <si>
    <t>EXTENSÃO:</t>
  </si>
  <si>
    <t>PREÇO TOTAL (R$)</t>
  </si>
  <si>
    <t>SICRO</t>
  </si>
  <si>
    <t>BDI:</t>
  </si>
  <si>
    <r>
      <t xml:space="preserve">LS: </t>
    </r>
    <r>
      <rPr>
        <sz val="8"/>
        <rFont val="Arial"/>
        <family val="2"/>
      </rPr>
      <t>Conforme referenciais</t>
    </r>
  </si>
  <si>
    <t>SERVIÇOS PRELIMINARES</t>
  </si>
  <si>
    <t>COMP.</t>
  </si>
  <si>
    <t xml:space="preserve">CÓD: </t>
  </si>
  <si>
    <t>?</t>
  </si>
  <si>
    <t>DATA-BASE:</t>
  </si>
  <si>
    <t xml:space="preserve">ESPECIFICAÇÃO: </t>
  </si>
  <si>
    <t>UNIDADE:</t>
  </si>
  <si>
    <t>-</t>
  </si>
  <si>
    <t>ÓRG.</t>
  </si>
  <si>
    <t>CÓD.</t>
  </si>
  <si>
    <t>EQUIPAMENTO</t>
  </si>
  <si>
    <t>COND. DE TRAB.</t>
  </si>
  <si>
    <t>UTILIZAÇÃO</t>
  </si>
  <si>
    <t>CUSTO OPERACIONAL</t>
  </si>
  <si>
    <t>QUANT</t>
  </si>
  <si>
    <t>PROD</t>
  </si>
  <si>
    <t>IMPR</t>
  </si>
  <si>
    <t>CUSTO</t>
  </si>
  <si>
    <t>( A ) TOTAL</t>
  </si>
  <si>
    <t>MÃO DE OBRA SUPLEMENTAR</t>
  </si>
  <si>
    <t>UND</t>
  </si>
  <si>
    <t>SAL.
S/ ENC.</t>
  </si>
  <si>
    <t>ENC. SOCIAIS</t>
  </si>
  <si>
    <t>SAL.
C/ ENC.</t>
  </si>
  <si>
    <t xml:space="preserve"> CUSTO HORÁRIO</t>
  </si>
  <si>
    <t>( B ) TOTAL</t>
  </si>
  <si>
    <t>( C ) ADICIONAL DE FERRAMENTAS MANUAIS</t>
  </si>
  <si>
    <t xml:space="preserve"> ( D ) PRODUÇÃO DA EQUIPE</t>
  </si>
  <si>
    <t>CUSTO UNITÁRIO DA EXECUÇÃO ( A + B + C) / D = ( E )</t>
  </si>
  <si>
    <t>MATERIAIS</t>
  </si>
  <si>
    <t>CONSUMO</t>
  </si>
  <si>
    <t>CUSTO UNITÁRIO</t>
  </si>
  <si>
    <t>( F ) TOTAL</t>
  </si>
  <si>
    <t>ATIVIDADES AUXILIARES</t>
  </si>
  <si>
    <t>( G ) TOTAL</t>
  </si>
  <si>
    <t>TEMPO FIXO</t>
  </si>
  <si>
    <t>( H ) TOTAL</t>
  </si>
  <si>
    <t>TRANSPORTE</t>
  </si>
  <si>
    <t>D.M.T.</t>
  </si>
  <si>
    <t>CONSUMO (tkm)</t>
  </si>
  <si>
    <t>XP</t>
  </si>
  <si>
    <t>XR</t>
  </si>
  <si>
    <t>( I ) TOTAL</t>
  </si>
  <si>
    <t>CUSTO DIRETO TOTAL  ( E ) + ( F ) + ( G ) + ( H ) + ( I )</t>
  </si>
  <si>
    <t>BENEFÍCIOS E DESPESAS INDIRETAS</t>
  </si>
  <si>
    <t>CUSTO UNITÁRIO TOTAL</t>
  </si>
  <si>
    <t>un</t>
  </si>
  <si>
    <t>CUSTO UNITÁRIO TOTAL PARA EXECUÇÃO DA OBRA (PRAZO DA OBRA =</t>
  </si>
  <si>
    <t>MESES)</t>
  </si>
  <si>
    <t>SERVIÇO</t>
  </si>
  <si>
    <t>SERVIÇO AUX</t>
  </si>
  <si>
    <t>SERVIÇO AUX 2</t>
  </si>
  <si>
    <t>QTDE SERV</t>
  </si>
  <si>
    <t>QTDE AUX</t>
  </si>
  <si>
    <t>QTDE AUX2</t>
  </si>
  <si>
    <t>DESCRIÇÃO TRANSPORTE</t>
  </si>
  <si>
    <t>TIPO TRANSPORTE</t>
  </si>
  <si>
    <t>FATOR UTILIZ.</t>
  </si>
  <si>
    <t>DIST (km)</t>
  </si>
  <si>
    <t>PESO A TRANSP</t>
  </si>
  <si>
    <t>MOMENTO TRANSP. (P)</t>
  </si>
  <si>
    <t>MOM. TRANSP. (RP)</t>
  </si>
  <si>
    <t>MOM. TRANSP. (LN)</t>
  </si>
  <si>
    <t>PRIN.</t>
  </si>
  <si>
    <t>AUX</t>
  </si>
  <si>
    <t>AUX2</t>
  </si>
  <si>
    <t>P</t>
  </si>
  <si>
    <t>RP</t>
  </si>
  <si>
    <t>LN</t>
  </si>
  <si>
    <t>Caminhão basculante 10 m³</t>
  </si>
  <si>
    <t>Cal hidratada</t>
  </si>
  <si>
    <t>Caminhão carroceria 15 t</t>
  </si>
  <si>
    <t>TOTAIS</t>
  </si>
  <si>
    <t>Caminhão Basculante 10 m³</t>
  </si>
  <si>
    <t>Caminhão Carroceria 15 t</t>
  </si>
  <si>
    <t>Argamassa de cimento e areia 1:3 - areia comercial</t>
  </si>
  <si>
    <t>Areia média lavada</t>
  </si>
  <si>
    <t>Cimento Portland CP II - 32</t>
  </si>
  <si>
    <t>Concreto fck = 20 MPa - confecção em betoneira e lançamento manual - areia e brita comerciais</t>
  </si>
  <si>
    <t>Aditivo plastificante e retardador de pega para concreto e argamassa</t>
  </si>
  <si>
    <t>Brita 1</t>
  </si>
  <si>
    <t>Brita 2</t>
  </si>
  <si>
    <t>Aditivo plastificante e retardador tipo Plastiment ou similar</t>
  </si>
  <si>
    <t>Pedra de Mão</t>
  </si>
  <si>
    <t xml:space="preserve">SINALIZAÇÃO </t>
  </si>
  <si>
    <t>SINALIZAÇÃO DE OBRAS</t>
  </si>
  <si>
    <t>TRANSPORTES</t>
  </si>
  <si>
    <t>REF:</t>
  </si>
  <si>
    <t>Chapa de aço galvanizado</t>
  </si>
  <si>
    <t>Película retrorrefletiva tipo I</t>
  </si>
  <si>
    <t>Película retrorrefletiva tipo III</t>
  </si>
  <si>
    <t>Pintura eletro.</t>
  </si>
  <si>
    <t>Tinta poliéster em pó</t>
  </si>
  <si>
    <t>Microesferas de vidro refletiva tipo I-B</t>
  </si>
  <si>
    <t>Microesferas de vidro refletiva tipo II-A</t>
  </si>
  <si>
    <t>Solvente para tinta à base de resina acrílica</t>
  </si>
  <si>
    <t>Tinta refletiva acrílica</t>
  </si>
  <si>
    <t xml:space="preserve">Concreto ciclópico fck = 20 MPa </t>
  </si>
  <si>
    <t>Concreto fck = 20 Mpa</t>
  </si>
  <si>
    <t>Pintura de faixa - tinta base acrílica - espessura de 0,6 mm</t>
  </si>
  <si>
    <t>MB0001</t>
  </si>
  <si>
    <t>MB0002</t>
  </si>
  <si>
    <t>SINAPI</t>
  </si>
  <si>
    <t>m²</t>
  </si>
  <si>
    <t>Nivelamento de Poço de Visita com o nível do revestimento após pavimentação, constando de arrancamento do anel existente, levantamento do pescoço e chumbação do tampão</t>
  </si>
  <si>
    <t>und</t>
  </si>
  <si>
    <t>Serviços de Limpeza com Caminhão SEWER JET (desobstrução de redes)</t>
  </si>
  <si>
    <t>h</t>
  </si>
  <si>
    <t>Varrição e Limpeza de Superfície</t>
  </si>
  <si>
    <t>Aquisição de RR-1C</t>
  </si>
  <si>
    <t>Transporte de RR-1C</t>
  </si>
  <si>
    <t>E9577</t>
  </si>
  <si>
    <t>E9544</t>
  </si>
  <si>
    <t>E9513</t>
  </si>
  <si>
    <t>Placa em aço - película I + III - fornecimento e implantação</t>
  </si>
  <si>
    <t>Suporte para placa de sinalização em madeira de lei tratada 8 x 8 cm - fornecimento e implantação</t>
  </si>
  <si>
    <t>Conjunto para fixação de placas em aço galvanizado</t>
  </si>
  <si>
    <t>Suporte em madeira de eucalipto tratado - seção de 8 x 8 cm</t>
  </si>
  <si>
    <t>Tinta esmalte sintético acetinado</t>
  </si>
  <si>
    <t>Pescoço p/ PV H= 0.30 m diam= 0.60 m</t>
  </si>
  <si>
    <t>Confecção de placa em aço nº 16 galvanizado, com película tipo I + III</t>
  </si>
  <si>
    <t>PRAZO OBRA PREV.:</t>
  </si>
  <si>
    <t>E9199</t>
  </si>
  <si>
    <t>INSTALAÇÃO MANUT. CANTEIRO, PLACAS DE OBRAS</t>
  </si>
  <si>
    <t>PREFEITURA MUNICIPAL DE COLATINA
Secretaria Municipal de Obras de Colatina - SEMOB                                                                                                                                                                                                                                                                           
PLANILHA ORÇAMENTÁRIA GERAL</t>
  </si>
  <si>
    <t>PREFEITURA MUNICIPAL DE COLATINA
Secretaria Municipal de Obras de Colatina - SEMOB
RESUMO GERAL DO ORÇAMENTO</t>
  </si>
  <si>
    <t>P9803</t>
  </si>
  <si>
    <t>P9812</t>
  </si>
  <si>
    <t>P9903</t>
  </si>
  <si>
    <t>P9949</t>
  </si>
  <si>
    <t>P9950</t>
  </si>
  <si>
    <r>
      <t xml:space="preserve">BDI: </t>
    </r>
    <r>
      <rPr>
        <sz val="8"/>
        <rFont val="Arial"/>
        <family val="2"/>
      </rPr>
      <t>23,32%</t>
    </r>
  </si>
  <si>
    <r>
      <t xml:space="preserve">BDI: </t>
    </r>
    <r>
      <rPr>
        <sz val="9"/>
        <rFont val="Arial"/>
        <family val="2"/>
      </rPr>
      <t>23,32%</t>
    </r>
  </si>
  <si>
    <t>P9893</t>
  </si>
  <si>
    <t>P9824</t>
  </si>
  <si>
    <t>1.1</t>
  </si>
  <si>
    <t>Argamassa cimento e areia traço 1:4, tudo incluído</t>
  </si>
  <si>
    <t>Transp. de Areia grossa jazida</t>
  </si>
  <si>
    <t>Transp. de Cimento</t>
  </si>
  <si>
    <t>P9821</t>
  </si>
  <si>
    <t>Transp. de Brita graduada</t>
  </si>
  <si>
    <t>Concreto estrutural fck = 15,0 MPa, inclusive transportes areia, cimento e pedra britada</t>
  </si>
  <si>
    <t>Transp. de Pedra britada p/ concreto</t>
  </si>
  <si>
    <t>m</t>
  </si>
  <si>
    <t>2.1</t>
  </si>
  <si>
    <t>2.2</t>
  </si>
  <si>
    <t>2.2.1</t>
  </si>
  <si>
    <t>2.2.2</t>
  </si>
  <si>
    <t>2.2.3</t>
  </si>
  <si>
    <t>TRANSPORTES SINALIZAÇÃO</t>
  </si>
  <si>
    <t>TRANSPORTES OC</t>
  </si>
  <si>
    <t>2.1.1</t>
  </si>
  <si>
    <t>2.1.2</t>
  </si>
  <si>
    <t>1.2</t>
  </si>
  <si>
    <t>2.3</t>
  </si>
  <si>
    <t>Formas de tábuas de pinho para dispositivos de drenagem - utilização de 3 vezes - confecção, instalação e retirada</t>
  </si>
  <si>
    <t>Prego de ferro</t>
  </si>
  <si>
    <t>Tábua de 2,5 x 10 cm</t>
  </si>
  <si>
    <t>Tábua de pinho de terceira - E = 2,5 cm</t>
  </si>
  <si>
    <t>TRANSPORTES DRENAGEM</t>
  </si>
  <si>
    <t>Tampão de ferro fund p águas pluviais TD 600</t>
  </si>
  <si>
    <t xml:space="preserve">MATERIAIS BETUMINOSOS </t>
  </si>
  <si>
    <t>2.3.1</t>
  </si>
  <si>
    <t>2.3.2</t>
  </si>
  <si>
    <t>2.3.3</t>
  </si>
  <si>
    <t>Meio fio retirado para BF</t>
  </si>
  <si>
    <t>Remoção de meio fio</t>
  </si>
  <si>
    <t>Meio fio de concreto pré-moldado (12 x 30 x 15) cm, inclusive caiação e transporte do meio fio em Vias Urbanas</t>
  </si>
  <si>
    <t>Transp. de Meio fio 12 X 30 X 15 cm X 1 m</t>
  </si>
  <si>
    <t>Todos os transportes foram calculados através da planilha dos transportes apresentada</t>
  </si>
  <si>
    <t>Meses previstos para execução das Obras</t>
  </si>
  <si>
    <t>Quantitativos previstos de acordo com o layout do Canteiro apresentado</t>
  </si>
  <si>
    <t>Tapume Previsto para canteiro. Dimensões 40m x 30m</t>
  </si>
  <si>
    <t>Mobilizações e desmobilizações previstas para equipamentos de execução das obras. Considerou-se equipamentos de Vitória e Serra</t>
  </si>
  <si>
    <t>Estimativa prevista para execução das obras</t>
  </si>
  <si>
    <t>Pessoal necessário para a execução da obra</t>
  </si>
  <si>
    <t>DESCRIÇÃO DOS SERVIÇOS PREVISTOS</t>
  </si>
  <si>
    <t>Estaca Inicial</t>
  </si>
  <si>
    <t>Estaca Final</t>
  </si>
  <si>
    <t>Lado</t>
  </si>
  <si>
    <t>Extensão (m)</t>
  </si>
  <si>
    <t>Largura (m)</t>
  </si>
  <si>
    <t>Total</t>
  </si>
  <si>
    <t>Esp. (m)</t>
  </si>
  <si>
    <t>Total
(Perímetro)</t>
  </si>
  <si>
    <t>Nº de placas</t>
  </si>
  <si>
    <t>Altura (m)</t>
  </si>
  <si>
    <t>Dias</t>
  </si>
  <si>
    <t>Tempo (h)</t>
  </si>
  <si>
    <t>Nivelamento dos poços de visita existentes</t>
  </si>
  <si>
    <t>Recuperação dos poços de visita existentes</t>
  </si>
  <si>
    <t>Estaca</t>
  </si>
  <si>
    <t xml:space="preserve"> Tx de Aplicação </t>
  </si>
  <si>
    <t>EX</t>
  </si>
  <si>
    <t>De acordo com as seções de pavimentação</t>
  </si>
  <si>
    <t>Índice</t>
  </si>
  <si>
    <t>Todos os quantitativos foram calculados através dos índices de composições de custos do SICRO</t>
  </si>
  <si>
    <t xml:space="preserve">Quant. </t>
  </si>
  <si>
    <t>Área (m²)</t>
  </si>
  <si>
    <t>Recuperação de poço de visita inclusive fornecimento tampão F.F.A.P., em Vias Urbanas</t>
  </si>
  <si>
    <t>Ud</t>
  </si>
  <si>
    <t>Meio fio de concreto pré-moldado (12 x 30 x 15) cm, inclusive caiação e transporte do meio fio
em Vias Urbanas</t>
  </si>
  <si>
    <t>Transporte com caminhão basculante de 10 m³ - rodovia pavimentada</t>
  </si>
  <si>
    <t>tkm</t>
  </si>
  <si>
    <t>Transporte com caminhão basculante de 10 m³ - rodovia em revestimento primário</t>
  </si>
  <si>
    <t>Pintura de ligação</t>
  </si>
  <si>
    <t>Pintura de faixa com tinta acrílica - espessura de 0,6 mm</t>
  </si>
  <si>
    <t>Transporte com caminhão carroceria de 15 t - rodovia pavimentada</t>
  </si>
  <si>
    <t>Placa de obra nas dimensões de 3,0 x 6,0 m, padrão DER-ES</t>
  </si>
  <si>
    <t>Aluguel de container p/ escritório com ar condicionado, isolamento term/acust., 2 luminárias,
janela de vidro, tomadas computador e telefone</t>
  </si>
  <si>
    <t>Mes</t>
  </si>
  <si>
    <t>Aluguel de container para almoxarifado</t>
  </si>
  <si>
    <t>Aluguel de container tipo refeitório simples, c/ 1 aparelho de ar condicionado, 2 luminárias e 2
janelas de vidro</t>
  </si>
  <si>
    <t>Aluguel de container tipo sanitário com 3 vasos sanitários, lavatório, mictório, 5 chuveiros, 2
venezianas e piso especial</t>
  </si>
  <si>
    <t>Rede de água c/ padrão de entrada d'água diâm. 3/4" conf. CESAN, incl. tubos e conexões p/
aliment., distrib., extravas. e limp., cons. o padrão a 25m</t>
  </si>
  <si>
    <t>Rede de esgoto, contendo fossa e filtro, incl. tubos e conexões de ligação entre caixas,
considerando distância de 25m</t>
  </si>
  <si>
    <t>Rede de luz, incl. padrão entr. energia trifás. cabo ligação até barracões, quadro distrib., disj. e
chave de força, cons. 20m entre padrão entr.e QDG</t>
  </si>
  <si>
    <t>Reservatório de fibra de vidro de 1000 L, incl. suporte em madeira de 7x12cm, elevado de 4m</t>
  </si>
  <si>
    <t>Tapume Telha Metálica Ondulada 0,50mm Branca h=2,20m, incl. montagem estr. mad. 8"x8",
incl. faixas pint. esmalte sintético c/ h=40cm (Reaproveitamento 2x)</t>
  </si>
  <si>
    <t>Mobilização e desmobilização de caminhão basculante (máximo)</t>
  </si>
  <si>
    <t>Mobilização e desmobilização de caminhão carroceria (máximo)</t>
  </si>
  <si>
    <t>Mobilização e desmobilização de caminhão tanque (6.000 L) (máximo)</t>
  </si>
  <si>
    <t>Mobilização e desmobilização de equipamentos com carreta prancha (máximo)</t>
  </si>
  <si>
    <t>Mobilização e desmobilização de container até 50 km</t>
  </si>
  <si>
    <t>Cones para sinalização, fornecimento e colocação</t>
  </si>
  <si>
    <t>Elementos de madeira para sinalização - cavaletes</t>
  </si>
  <si>
    <t>Tela de proteção de segurança de PVC cor laranja com suporte  para sinalização de obras</t>
  </si>
  <si>
    <t>Sinalização vertical com chapa em esmalte sintético</t>
  </si>
  <si>
    <t>Sinalização noturna ( fio com lâmpada e balde ), fornecimento e instalação</t>
  </si>
  <si>
    <t>% ACUM.</t>
  </si>
  <si>
    <t>CLASS.</t>
  </si>
  <si>
    <t>PREFEITURA MUNICIPAL DE COLATINA
Secretaria Municipal de Obras de Colatina - SEMOB
CURVA ABC - SERVIÇOS</t>
  </si>
  <si>
    <t xml:space="preserve">1º MÊS </t>
  </si>
  <si>
    <t xml:space="preserve">2º MÊS </t>
  </si>
  <si>
    <t xml:space="preserve">3º MÊS </t>
  </si>
  <si>
    <t>PRAZO DE CONTRATAÇÃO DOS SERVIÇOS</t>
  </si>
  <si>
    <t>Desobstrução da drenagem existente</t>
  </si>
  <si>
    <t>PREFEITURA MUNICIPAL DE COLATINA
Secretaria Municipal de Obras de Colatina - SEMOB
MEMÓRIA DE CÁLCULO</t>
  </si>
  <si>
    <t>Concreto estrutural fck = 15,0 MPa, tudo incluído</t>
  </si>
  <si>
    <t>Formas planas de madeira com 02 (dois)
reaproveitamentos, inclusive fornecimento e
transporte das madeiras</t>
  </si>
  <si>
    <t>Transp. de Caibros 8 X 8 cm</t>
  </si>
  <si>
    <t>Transp. de Sarrafo 10 X 2,5 cm</t>
  </si>
  <si>
    <t>Transp. de Tábuas de 2,5 cm</t>
  </si>
  <si>
    <t>+</t>
  </si>
  <si>
    <t>LD</t>
  </si>
  <si>
    <t>LE</t>
  </si>
  <si>
    <t>x (Lados)</t>
  </si>
  <si>
    <t>PREÇO UNITÁRIO (R$) SEM BDI</t>
  </si>
  <si>
    <t>Caixa ralo simples (CXR-01) em blocos e grelha articulada em FFA</t>
  </si>
  <si>
    <t>M2623</t>
  </si>
  <si>
    <t>Grelha metálica simples para boca de lobo de 300 x 900 mm e capacidade de 300 kN - Caminhão carroceria 15 t</t>
  </si>
  <si>
    <t>5914449
5914464
5914479</t>
  </si>
  <si>
    <t>SICRO - 2003622</t>
  </si>
  <si>
    <t>Corpo de BSTC D = 0,40 m PA2 - areia, brita e pedra de mão comerciais</t>
  </si>
  <si>
    <t>Tubo de concreto armado PA 2 - D = 0,40 m</t>
  </si>
  <si>
    <t>Guindauto 20 t.m</t>
  </si>
  <si>
    <t>Argamassa de cimento e areia 1:4 - areia comercial</t>
  </si>
  <si>
    <t>Concreto ciclópico fck = 20 MPa - confecção em betoneira e lançamento manual - areia, brita e pedra de mão comerciais</t>
  </si>
  <si>
    <t>Pedra de mão</t>
  </si>
  <si>
    <t>Caixa ralo simples (CXR-01) em blocos e grelha articulada em FFA (Conf. Proj Tipo)</t>
  </si>
  <si>
    <t>Grelha metálica simples para boca de lobo de 300 x 900 mm e capacidade de 300 Kn</t>
  </si>
  <si>
    <t>Alvenaria de blocos de concreto 20 x 20 x 40 cm com espessura de 20 cm - areia comercial</t>
  </si>
  <si>
    <t>Bloco de concreto de 20 x 20 x 40 cm</t>
  </si>
  <si>
    <t>Argamassa de cimento</t>
  </si>
  <si>
    <t>Demolição de concreto simples com martelete</t>
  </si>
  <si>
    <t>M</t>
  </si>
  <si>
    <t>Remanejamento de ligação e religação de redes de esgoto</t>
  </si>
  <si>
    <t>Religação de rede de água em PVC DN 20 mm, inclusive conexões, em Vias Urbanas</t>
  </si>
  <si>
    <t>Religação de rede de água em PVC DN 32mm, incluisve conexões</t>
  </si>
  <si>
    <t>Religação de rede de água em PVC DN 75 mm, inclusive conexões, em Vias Urbanas</t>
  </si>
  <si>
    <t>M2</t>
  </si>
  <si>
    <t>Transporte com caminhão carroceria com capacidade de 7 t e com guindauto de 20 t.m - rodovia pavimentada</t>
  </si>
  <si>
    <t>PREFEITURA MUNICIPAL DE COLATINA
Secretaria Municipal de Obras de Colatina - SEMOB
CRONOGRAMA FÍSICO-FINANCEIRO</t>
  </si>
  <si>
    <t>Cola poliéster</t>
  </si>
  <si>
    <t xml:space="preserve">PREÇO UNITÁRIO (R$) COM BDI </t>
  </si>
  <si>
    <t>PREÇO UNITÁRIO (R$) COM BDI</t>
  </si>
  <si>
    <t>3.1</t>
  </si>
  <si>
    <t>3.2</t>
  </si>
  <si>
    <t>4.1</t>
  </si>
  <si>
    <r>
      <t xml:space="preserve">REVESTIMENTO: </t>
    </r>
    <r>
      <rPr>
        <sz val="8"/>
        <rFont val="Arial"/>
        <family val="2"/>
      </rPr>
      <t>CBUQ</t>
    </r>
  </si>
  <si>
    <t>3.3</t>
  </si>
  <si>
    <t>3.4</t>
  </si>
  <si>
    <t>5.0</t>
  </si>
  <si>
    <t>5.1</t>
  </si>
  <si>
    <t>5.2</t>
  </si>
  <si>
    <t>5.3</t>
  </si>
  <si>
    <t>5.4</t>
  </si>
  <si>
    <t>6.0</t>
  </si>
  <si>
    <t>6.1.1</t>
  </si>
  <si>
    <t>6.2.1</t>
  </si>
  <si>
    <t>6.2.2</t>
  </si>
  <si>
    <t>7.0</t>
  </si>
  <si>
    <t>7.1</t>
  </si>
  <si>
    <r>
      <t xml:space="preserve">REVESTIMENTO: </t>
    </r>
    <r>
      <rPr>
        <sz val="9"/>
        <rFont val="Arial"/>
        <family val="2"/>
      </rPr>
      <t>CBUQ</t>
    </r>
  </si>
  <si>
    <t>tx = 2,40 t/m³</t>
  </si>
  <si>
    <t>MB0003</t>
  </si>
  <si>
    <t>MB0004</t>
  </si>
  <si>
    <t>Aquisição de CAP-50/70</t>
  </si>
  <si>
    <t>Transporte de CAP-50/70</t>
  </si>
  <si>
    <t>TRANSPORTES PAVIMENTAÇÃO</t>
  </si>
  <si>
    <t>Concreto asfáltico - faixa C - areia e brita comerciais</t>
  </si>
  <si>
    <t>Usinagem de Concreto para Pista</t>
  </si>
  <si>
    <t>Usinagem de concreto asfáltico - faixa C - areia e brita comerciais</t>
  </si>
  <si>
    <t>Areia Média</t>
  </si>
  <si>
    <t>Brita 0</t>
  </si>
  <si>
    <t>Pedrisco</t>
  </si>
  <si>
    <t>Data Base da Planilha Orçamentária: Abr-22</t>
  </si>
  <si>
    <t>SICRO - ABR-22</t>
  </si>
  <si>
    <t>SICRO - ABR-22
DER-ES - JAN-22</t>
  </si>
  <si>
    <t>CÁLCULO DOS TRANSPORTES E MOMENTOS DE TRANSPORTE</t>
  </si>
  <si>
    <t>1.1.1</t>
  </si>
  <si>
    <t>1.1.2</t>
  </si>
  <si>
    <t>1.1.3</t>
  </si>
  <si>
    <t>1.1.4</t>
  </si>
  <si>
    <t>1.1.5</t>
  </si>
  <si>
    <t>1.1.6</t>
  </si>
  <si>
    <t>1.1.7</t>
  </si>
  <si>
    <t>DRENAGEM E O.A.C.</t>
  </si>
  <si>
    <t>SERVIÇOS PRELIMINARES, REPAROS, REMOÇÕES, SUBSTITUIÇÕES E REMANEJAMENTOS</t>
  </si>
  <si>
    <t>1.2.1</t>
  </si>
  <si>
    <t>1.2.2</t>
  </si>
  <si>
    <t>1.2.3</t>
  </si>
  <si>
    <t>1.2.4</t>
  </si>
  <si>
    <t xml:space="preserve">SERVIÇOS </t>
  </si>
  <si>
    <t>Reaterro com areia e adensamento hidráulico, tudo incluído em Vias Urbanas</t>
  </si>
  <si>
    <t xml:space="preserve">SICRO - ABR-22
DER-ES - JAN-22 reajustado p/ ABR-22 </t>
  </si>
  <si>
    <t>E9526</t>
  </si>
  <si>
    <t>E9571</t>
  </si>
  <si>
    <t>Transporte da areia suja - Caminhão basculante 10 m³</t>
  </si>
  <si>
    <t>De acordo com o Quadro de Escavações</t>
  </si>
  <si>
    <t>Volume (m³)</t>
  </si>
  <si>
    <t>Massa (t)</t>
  </si>
  <si>
    <t>DMT (km)</t>
  </si>
  <si>
    <t>De acordo com o projeto de Drenagem</t>
  </si>
  <si>
    <t>Transp. de Areia suja jazida c/ carreg. Mecânico</t>
  </si>
  <si>
    <t>Carga e Transporte do Material de Bota-Fora</t>
  </si>
  <si>
    <t>Quantidade de Containers previstos para o canteiro de obras</t>
  </si>
  <si>
    <t>2.1.3</t>
  </si>
  <si>
    <t>2.1.4</t>
  </si>
  <si>
    <t>2.2.4</t>
  </si>
  <si>
    <t>2.1.5</t>
  </si>
  <si>
    <t>MB0005</t>
  </si>
  <si>
    <t>MB0006</t>
  </si>
  <si>
    <t>Aquisição de E.A.I. (Imprimação)</t>
  </si>
  <si>
    <t>Transporte de E.A.I. (Imprimação)</t>
  </si>
  <si>
    <t>Item</t>
  </si>
  <si>
    <t>Remoção de pavimentação poliédrica em Vias Urbanas</t>
  </si>
  <si>
    <t>Material retirada para reutilização da PMC</t>
  </si>
  <si>
    <t>Base ou sub-base de brita graduada com brita comercial</t>
  </si>
  <si>
    <t>Usinagem de Brita</t>
  </si>
  <si>
    <t>Escavação mecânica de vala em material de 1ª categoria</t>
  </si>
  <si>
    <t>Escavação manual de vala em material de 1ª categoria</t>
  </si>
  <si>
    <t>Reaterro e compactação com soquete vibratório</t>
  </si>
  <si>
    <t>Regularização de bota-fora com espalhamento e compactação</t>
  </si>
  <si>
    <t>Carga, manobra e descarga de agregados ou solos em caminhão basculante de 6 m³ - carga com carregadeira de 1,72 m³ e descarga livre</t>
  </si>
  <si>
    <t>Demolição e remoção de estrutura de pavimento inclusive capa asfáltica</t>
  </si>
  <si>
    <t>Imprimação com emulsão asfáltica</t>
  </si>
  <si>
    <r>
      <t>PROJETO:</t>
    </r>
    <r>
      <rPr>
        <sz val="8"/>
        <rFont val="Arial"/>
        <family val="2"/>
      </rPr>
      <t xml:space="preserve"> Infraestrutura Urbana da Praça Frei José</t>
    </r>
  </si>
  <si>
    <r>
      <t xml:space="preserve">LOCAL: </t>
    </r>
    <r>
      <rPr>
        <sz val="8"/>
        <rFont val="Arial"/>
        <family val="2"/>
      </rPr>
      <t>Centro – Colatina - ES</t>
    </r>
  </si>
  <si>
    <r>
      <t xml:space="preserve">EXTENSÃO: </t>
    </r>
    <r>
      <rPr>
        <sz val="8"/>
        <rFont val="Arial"/>
        <family val="2"/>
      </rPr>
      <t>0,261 Km</t>
    </r>
  </si>
  <si>
    <t>TERRAPLENAGEM E SERVIÇOS PRELIMINARES</t>
  </si>
  <si>
    <t>TERRAPLANAGEM</t>
  </si>
  <si>
    <t>2.1.6</t>
  </si>
  <si>
    <t>2.1.7</t>
  </si>
  <si>
    <t>2.2.5</t>
  </si>
  <si>
    <t>2.2.6</t>
  </si>
  <si>
    <t>2.2.7</t>
  </si>
  <si>
    <t>2.2.8</t>
  </si>
  <si>
    <t>2.3.4</t>
  </si>
  <si>
    <r>
      <t xml:space="preserve">PROJETO: </t>
    </r>
    <r>
      <rPr>
        <sz val="9"/>
        <rFont val="Arial"/>
        <family val="2"/>
      </rPr>
      <t>Infraestrutura Urbana da Praça Frei José</t>
    </r>
  </si>
  <si>
    <r>
      <t xml:space="preserve">LOCAL: </t>
    </r>
    <r>
      <rPr>
        <sz val="9"/>
        <rFont val="Arial"/>
        <family val="2"/>
      </rPr>
      <t>Centro – Colatina - ES</t>
    </r>
  </si>
  <si>
    <r>
      <t xml:space="preserve">EXTENSÃO: </t>
    </r>
    <r>
      <rPr>
        <sz val="9"/>
        <rFont val="Arial"/>
        <family val="2"/>
      </rPr>
      <t>0,261 km</t>
    </r>
  </si>
  <si>
    <t>3.1.1</t>
  </si>
  <si>
    <t>3.1.2</t>
  </si>
  <si>
    <t>3.2.1</t>
  </si>
  <si>
    <t>3.2.2</t>
  </si>
  <si>
    <t>3.2.3</t>
  </si>
  <si>
    <t>3.2.4</t>
  </si>
  <si>
    <t>3.3.1</t>
  </si>
  <si>
    <t>3.3.2</t>
  </si>
  <si>
    <t>3.3.3</t>
  </si>
  <si>
    <t>3.4.1</t>
  </si>
  <si>
    <t>3.4.2</t>
  </si>
  <si>
    <t>3.4.3</t>
  </si>
  <si>
    <t>3.4.4</t>
  </si>
  <si>
    <t>3.4.5</t>
  </si>
  <si>
    <t>3.4.6</t>
  </si>
  <si>
    <t>4.2</t>
  </si>
  <si>
    <t>4.3</t>
  </si>
  <si>
    <t>4.4</t>
  </si>
  <si>
    <t>7.2</t>
  </si>
  <si>
    <t>8.0</t>
  </si>
  <si>
    <t>8.1</t>
  </si>
  <si>
    <t>DER-ES EDIF.</t>
  </si>
  <si>
    <t>REMOÇÃO DO PAVIMENTO</t>
  </si>
  <si>
    <t>PAVIMENTO EXISTENTE</t>
  </si>
  <si>
    <t>PAVIMENTO NOVO</t>
  </si>
  <si>
    <t>ESCAVAÇÕES E MOVIMENTAÇÃO DE TERRA</t>
  </si>
  <si>
    <t>5.5</t>
  </si>
  <si>
    <t>5.6</t>
  </si>
  <si>
    <t>5.7</t>
  </si>
  <si>
    <t>Remoção de árvores</t>
  </si>
  <si>
    <t>Demolição da praça atual</t>
  </si>
  <si>
    <t>Demolição de trechos em concreto armado (bancos, etc)</t>
  </si>
  <si>
    <t xml:space="preserve">Remoção das Pedras Portuguesas </t>
  </si>
  <si>
    <t>Remoção do entulho preveniente dos itens anteriores</t>
  </si>
  <si>
    <t>Vol. (m³)</t>
  </si>
  <si>
    <t>De acordo com o Quadro Resumo de Terraplenagem</t>
  </si>
  <si>
    <t>Estimativa de remanejamento e religações em virtude de eventuais rompimentos</t>
  </si>
  <si>
    <t>4.5</t>
  </si>
  <si>
    <t>De acordo com projeto de sinalização e Notas de Serviço</t>
  </si>
  <si>
    <t>Implantação de acordo com o projeto de urbanismo</t>
  </si>
  <si>
    <t>OBRAS COMPLEMENTARES E URBANISMO</t>
  </si>
  <si>
    <t>5.8</t>
  </si>
  <si>
    <t>5.9</t>
  </si>
  <si>
    <t>5.10</t>
  </si>
  <si>
    <t>5.11</t>
  </si>
  <si>
    <t>5.12</t>
  </si>
  <si>
    <t>5.13</t>
  </si>
  <si>
    <t>9.0</t>
  </si>
  <si>
    <t>ILUMINAÇÃO PÚBLICA</t>
  </si>
  <si>
    <t>9.1</t>
  </si>
  <si>
    <t>8.2</t>
  </si>
  <si>
    <t>8.2.1</t>
  </si>
  <si>
    <t>8.2.2</t>
  </si>
  <si>
    <t>8.2.3</t>
  </si>
  <si>
    <t>8.2.4</t>
  </si>
  <si>
    <t>8.2.5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</si>
  <si>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</si>
  <si>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</si>
  <si>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</si>
  <si>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</si>
  <si>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</si>
  <si>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</si>
  <si>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</si>
  <si>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</si>
  <si>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</si>
  <si>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</si>
  <si>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</si>
  <si>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</si>
  <si>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</si>
  <si>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</si>
  <si>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</si>
  <si>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7.3</t>
  </si>
  <si>
    <t>7.4</t>
  </si>
  <si>
    <t>Quant.</t>
  </si>
  <si>
    <t>Desmatamento, destocamento, limpeza de área e estocagem do material de limpeza com árvores de diâmetro até 0,15 m</t>
  </si>
  <si>
    <t>Limpeza para BF</t>
  </si>
  <si>
    <t>Destocamento de árvores com diâmetro de 0,15 a 0,30 m</t>
  </si>
  <si>
    <t>Árvores para BF</t>
  </si>
  <si>
    <t>Destocamento de árvores com diâmetro maior que 0,30 m</t>
  </si>
  <si>
    <t>Pintura de setas e zebrados - tinta base acrílica - espessura de 0,6 mm</t>
  </si>
  <si>
    <t>Tachão refletivo em plástico injetado - bidirecional - fornecimento e colocação</t>
  </si>
  <si>
    <t>Tachão refletivo em plástico injetado bidirecional</t>
  </si>
  <si>
    <t>Lastro de concreto não estrutural, espessura de 6 cm</t>
  </si>
  <si>
    <t>Cimento Portland CP III - 40</t>
  </si>
  <si>
    <t>Piso cimentado liso com 1.5 cm de espessura, em argamassa de cimento e areia no traço 1:3 e juntas plásticas em quadros de 1 m colorido com corante tipo Xadrez ou equivalente</t>
  </si>
  <si>
    <t>XADREZ (PO CORANTE TIPO XADREZ MARCA DE REF.)</t>
  </si>
  <si>
    <t>Piso cimentado liso com 1.5 cm de espessura, de argamassa de cimento e areia no traço 1:3 e juntas plásticas em quadros de 1 m</t>
  </si>
  <si>
    <t xml:space="preserve">Aço CA-50 </t>
  </si>
  <si>
    <t>Prego</t>
  </si>
  <si>
    <t>Arame Recozido</t>
  </si>
  <si>
    <t>Passeio pavimentado em blocos de concreto esp.=6cm, colorido, resistência 35 MPa, colchão de areia 5cm, inclusive transporte dos blocos e da areia</t>
  </si>
  <si>
    <t>Transp. de Areia grossa jazida c/ carreg. mecânico</t>
  </si>
  <si>
    <t>Transp. de Bloco p/ pavimentaçao - esp= 6 cm</t>
  </si>
  <si>
    <t>Calçada de concreto fck=15 MP, camurçado c/ argam. cimento e areia 1:4, lastro de brita e 8 cm de concreto, incl. preparo da caixa e transp. da brita</t>
  </si>
  <si>
    <t>Ladrilho hidráulico (argamassa cimento e areia 1:4), fornecimento e assentamento</t>
  </si>
  <si>
    <t>Ladrilho hidraúlico 2 cores p/ calçada</t>
  </si>
  <si>
    <t>Rampa de pedestres, com piso em ladrilho hidráulico podotátil</t>
  </si>
  <si>
    <t>Concreto ciclópico com 70% concreto 10,0 Mpa e 30% de pedra de mão, tudo incluído</t>
  </si>
  <si>
    <t>Concreto fck = 10 Mpa</t>
  </si>
  <si>
    <t>Banco de concreto armado aparente Fck=15 MPa, com apoios de concreto, largura de 45cm, espessura de 7cm e altura de 45cm</t>
  </si>
  <si>
    <t>Plantio de grama comercial em placas</t>
  </si>
  <si>
    <t>Adubo NPK</t>
  </si>
  <si>
    <t>Adubo orgânico composto</t>
  </si>
  <si>
    <t>Pó calcário dolomítico</t>
  </si>
  <si>
    <t>Grama tipo batatais</t>
  </si>
  <si>
    <t>7.5</t>
  </si>
  <si>
    <t>Padrão de entrada de energia elétrica, bifásico, entrada subterrânea, a 3 fios, carga instalada em muro de 9001 até 15000W - 220/127V, inclusive derivação de ramal de entrada aérea</t>
  </si>
  <si>
    <t>DER-ES EDIF. - ABR-22
SINAPI - ABR-22</t>
  </si>
  <si>
    <t>151702 DER</t>
  </si>
  <si>
    <t>Fornecimento e instalação de poste de aço cônico continuo, reto, engatado, altura de até 7 metros, com luminária tipo chapéu chinês LED de potência 100W, com alimentação por rede subterrânea</t>
  </si>
  <si>
    <t>Fornecimento e instalação de sistema de aterramento dos postes metálicos</t>
  </si>
  <si>
    <t>Fornecimento e instalação de eletroduto PEAD, diâmetro 1", marca ref. Kanaflex ou equivalente, inclusive abertura e fechamento rasgo</t>
  </si>
  <si>
    <t>DER-ES EDIF. - ABR-22</t>
  </si>
  <si>
    <t>Fornecimento e lançamento de Condutor BT-2x4mm² para rede subterrânea</t>
  </si>
  <si>
    <t>Fornecimento e lançamento de Condutor BT-2x1x16+16mm² para extensão de rede</t>
  </si>
  <si>
    <t>DER-ES EDIF. - ABR-22
ORSE - ABR-22</t>
  </si>
  <si>
    <t>ORSE</t>
  </si>
  <si>
    <t>CABO DE ALUMINIO 0,6/1KV MULTIPLEXADOS 2x1x16+16MM²</t>
  </si>
  <si>
    <t>Retirada de braço, para fixação de luminárias</t>
  </si>
  <si>
    <t>Retirada de poste de concreto ou aço de 6m a 12m</t>
  </si>
  <si>
    <t>Retirada de luminária em poste com 10m a 12m de altura</t>
  </si>
  <si>
    <t>Retirada de reator para lâmpada de descarga instalado de 8m até 13m de altura</t>
  </si>
  <si>
    <t>Retirada ou substituição de relé fotoelétrico individual, instalado até 13m de altura</t>
  </si>
  <si>
    <t>Extensão de Rede e Comissionamento</t>
  </si>
  <si>
    <t>6.1</t>
  </si>
  <si>
    <t>PADRÃO DE ENTRADA</t>
  </si>
  <si>
    <t>6.2</t>
  </si>
  <si>
    <t>6.3</t>
  </si>
  <si>
    <t>6.4</t>
  </si>
  <si>
    <t>6.5</t>
  </si>
  <si>
    <t>6.3.1</t>
  </si>
  <si>
    <t>6.4.1</t>
  </si>
  <si>
    <t>6.4.2</t>
  </si>
  <si>
    <t>6.5.1</t>
  </si>
  <si>
    <t>6.5.2</t>
  </si>
  <si>
    <t>6.5.3</t>
  </si>
  <si>
    <t>6.5.4</t>
  </si>
  <si>
    <t>6.5.5</t>
  </si>
  <si>
    <t>POSTES</t>
  </si>
  <si>
    <t>ELETRODUTOS</t>
  </si>
  <si>
    <t>CONDUTORES</t>
  </si>
  <si>
    <t>REMOÇÃO DE EQUIPAMENTOS DE ILUMINAÇÃO PÚBLICA</t>
  </si>
  <si>
    <t>De acordo com o projeto de Iluminação Pública</t>
  </si>
  <si>
    <r>
      <t>SICRO-ES, DER-ES EDIF., SINAPI (</t>
    </r>
    <r>
      <rPr>
        <b/>
        <sz val="8"/>
        <rFont val="Arial"/>
        <family val="2"/>
      </rPr>
      <t>Abr-22</t>
    </r>
    <r>
      <rPr>
        <sz val="8"/>
        <rFont val="Arial"/>
        <family val="2"/>
      </rPr>
      <t>), DER-ES (</t>
    </r>
    <r>
      <rPr>
        <b/>
        <sz val="8"/>
        <rFont val="Arial"/>
        <family val="2"/>
      </rPr>
      <t>Jan-22</t>
    </r>
    <r>
      <rPr>
        <sz val="8"/>
        <rFont val="Arial"/>
        <family val="2"/>
      </rPr>
      <t xml:space="preserve">) </t>
    </r>
  </si>
  <si>
    <r>
      <t xml:space="preserve">REF: </t>
    </r>
    <r>
      <rPr>
        <sz val="8"/>
        <rFont val="Arial"/>
        <family val="2"/>
      </rPr>
      <t>SICRO-ES, DER-ES EDIF., SINAPI (</t>
    </r>
    <r>
      <rPr>
        <b/>
        <sz val="8"/>
        <rFont val="Arial"/>
        <family val="2"/>
      </rPr>
      <t>Abr-22</t>
    </r>
    <r>
      <rPr>
        <sz val="8"/>
        <rFont val="Arial"/>
        <family val="2"/>
      </rPr>
      <t>), DER-ES (</t>
    </r>
    <r>
      <rPr>
        <b/>
        <sz val="8"/>
        <rFont val="Arial"/>
        <family val="2"/>
      </rPr>
      <t>Jan-22</t>
    </r>
    <r>
      <rPr>
        <sz val="8"/>
        <rFont val="Arial"/>
        <family val="2"/>
      </rPr>
      <t xml:space="preserve">) </t>
    </r>
  </si>
  <si>
    <r>
      <t xml:space="preserve">REF: </t>
    </r>
    <r>
      <rPr>
        <sz val="9"/>
        <rFont val="Arial"/>
        <family val="2"/>
      </rPr>
      <t xml:space="preserve">SICRO-ES, DER-ES EDIF., SINAPI (Abr-22), DER-ES (Jan-22) </t>
    </r>
  </si>
  <si>
    <t>Demolição de concreto armado</t>
  </si>
  <si>
    <t>Índice de preço para remoção de entulho decorrente da execução de obras (Classe A CONAMA - NBR 10.004 - Classe II-B), incluindo aluguel da caçamba, carga, transporte e descarga em área licenciada</t>
  </si>
  <si>
    <t>m3</t>
  </si>
  <si>
    <t>Escavação, carga e transporte de material de 1ª categoria - DMT de 50 a 200 m - caminho de serviço em revestimento primário - com escavadeira e caminhão basculante de 14 m³</t>
  </si>
  <si>
    <t>Transporte com caminhão basculante de 6 m³ - rodovia pavimentada (P=7,35km)</t>
  </si>
  <si>
    <t>Transporte com caminhão basculante de 6 m³ - rodovia em revestimento primário (RP=2,95km)</t>
  </si>
  <si>
    <t>Regularização do subleito</t>
  </si>
  <si>
    <t>Pintura de setas e zebrados com tinta acrílica - espessura de 0,6 mm</t>
  </si>
  <si>
    <t>m2</t>
  </si>
  <si>
    <t>Passeio pavimentado em blocos de concreto esp.=6cm, colorido, resistência 35 MPa, colchão
de areia 5cm, inclusive transporte dos blocos e da areia</t>
  </si>
  <si>
    <t>Calçada de concreto fck=15 MP, camurçado c/ argam. cimento e areia 1:4, lastro de brita e 8
cm de concreto, incl. preparo da caixa e transp. da brita</t>
  </si>
  <si>
    <t>PLANTIO DE ARBUSTO OU  CERCA VIVA. AF_05/2018</t>
  </si>
  <si>
    <t>UN</t>
  </si>
  <si>
    <t>PLANTIO DE ÁRVORE ORNAMENTAL COM ALTURA DE MUDA MENOR OU IGUAL A 2,00 M. AF_05/2018</t>
  </si>
  <si>
    <t>PLANTIO DE ÁRVORE ORNAMENTAL COM ALTURA DE MUDA MAIOR QUE 2,00 M E MENOR OU IGUAL A 4,00 M. AF_05/2018</t>
  </si>
  <si>
    <t>PLANTIO DE PALMEIRA COM ALTURA DE MUDA MENOR OU IGUAL A 2,00 M. AF_05/2018</t>
  </si>
  <si>
    <t>Transporte com caminhão carroceria de 15 t - rodovia em revestimento primário</t>
  </si>
  <si>
    <t>Área de intervenção da referida obra (área da praça)</t>
  </si>
  <si>
    <t>3.1.3</t>
  </si>
  <si>
    <t>Placa de Obras na Dimensão de 18,00m²</t>
  </si>
  <si>
    <t>DER-ES - JAN-22</t>
  </si>
  <si>
    <t>Desgalhamento, corte em toras e empilhamento de Árvores</t>
  </si>
  <si>
    <t>Desgalhamento, corte em toras e empilhamento de Árvores existentes</t>
  </si>
  <si>
    <t/>
  </si>
  <si>
    <t>ARAME GALVANIZADO N.12 BWG</t>
  </si>
  <si>
    <t>KG</t>
  </si>
  <si>
    <t>AREIA LAVADA MEDIA</t>
  </si>
  <si>
    <t>M3</t>
  </si>
  <si>
    <t>ARMACAO VERTICAL COM HASTE E CONTRA-PINO, EM CHAPA DE ACO GALVANIZADO 3/16", COM 3 ESTRIBOS E 3 ISOLADORES</t>
  </si>
  <si>
    <t xml:space="preserve">UN    </t>
  </si>
  <si>
    <t>BRITA 1</t>
  </si>
  <si>
    <t>BRITA 2</t>
  </si>
  <si>
    <t>PLUG OU BUJAO DE FERRO GALVANIZADO, DE 1 1/2"</t>
  </si>
  <si>
    <t>CABECOTE DE ALUMINIO FUNDIDO 1 1/2"</t>
  </si>
  <si>
    <t>CABO DE COBRE NU TEMPERA MEIO DURA 10 MM2 - CLASSE 2A</t>
  </si>
  <si>
    <t>CABO FLEX ISOL. TERMOPLAST. 0,6/1KV - 16MM2 - 70º</t>
  </si>
  <si>
    <t>CAIXA MED POLIF P-980-009 CARGA ATE 41000W ESCELSA (CJ)</t>
  </si>
  <si>
    <t>CIMENTO PORTLAND CP III - 40</t>
  </si>
  <si>
    <t>CONJ PARAFUSO, PORCA E ARRUELA LATAO 3/8 X 11/2"</t>
  </si>
  <si>
    <t>DESMOLDANTE PARA FORMAS</t>
  </si>
  <si>
    <t>L</t>
  </si>
  <si>
    <t>ELETRODUTO FLEXIVEL, EM ACO, TIPO CONDUITE, DIAMETRO DE 1 1/2"</t>
  </si>
  <si>
    <t xml:space="preserve">M     </t>
  </si>
  <si>
    <t>ELETRODUTO DE PVC RIGIDO 1 1/2" - ROSCAVEL SEM LUVA</t>
  </si>
  <si>
    <t>HASTE TIPO COPPERWELD - 5/8 "X 2.4M - ALTA CAMADA</t>
  </si>
  <si>
    <t>MINI DISJUNTOR BIPOLAR 16A CURVA C 5KA 220/127V</t>
  </si>
  <si>
    <t>NIPLE DE FERRO GALVANIZADO, COM ROSCA BSP, DE 1 1/2"</t>
  </si>
  <si>
    <t>OLHAL DE FERRO GALVANIZADO C/ PARAFUSO 16X200MM</t>
  </si>
  <si>
    <t>PARAFUSO CABEÇA QUADRADA MAQUINA GALVANIZADO A FOGO 16 X 200MM</t>
  </si>
  <si>
    <t>PREGO 18X27</t>
  </si>
  <si>
    <t>REDUÇÃO DE FERRO GALVANIZADO Ø 50X32MM (2X1 1/4")</t>
  </si>
  <si>
    <t>RELE FOTOELETRICO MAG. MOD. RM10A / 220V</t>
  </si>
  <si>
    <t>SARRAFO DE MADEIRA PINUS 10 X 2.5CM</t>
  </si>
  <si>
    <t>TABUA DE MADEIRA PINUS 30 X 2.5 CM</t>
  </si>
  <si>
    <t>TERMINAL MECANICO P/CABO 16MM2</t>
  </si>
  <si>
    <t>QUADRO DISTRIB EM PVC 12 CIRCUITOS - BARRAMENTO 100A</t>
  </si>
  <si>
    <t>DUTO CORRUGADO DE PEAD COR PRETA 1 1/2"</t>
  </si>
  <si>
    <t>BLOCO DE CONCRETO 9 X 19 X 39CM - VEDACAO</t>
  </si>
  <si>
    <t>BRITA 3</t>
  </si>
  <si>
    <t>CAL HIDRATADO P/ ARGAMASSA CH III</t>
  </si>
  <si>
    <t>CABO PP ISOLAMENTO 1000V, 2 X 2.5 MM2 - PIRELLI OU EQUIVALENTE</t>
  </si>
  <si>
    <t>LUMINARIA DE LED PARA ILUMINACAO PUBLICA, DE 98 W ATE 137 W, INVOLUCRO EM ALUMINIO OU ACO INOX</t>
  </si>
  <si>
    <t>PARAF. INOX SEXT. M6X45MM, BUCHA N.8, ARRUELA 1/4"</t>
  </si>
  <si>
    <t>POSTE CONICO CONTINUO EM ACO GALVANIZADO, RETO, ENGASTADO,  H = 7 M, DIAMETRO INFERIOR = *125* MM</t>
  </si>
  <si>
    <t>GRAMPO METALICO TIPO OLHAL PARA HASTE DE ATERRAMENTO DE 5/8'', CONDUTOR DE *10* A 50 MM2</t>
  </si>
  <si>
    <t>TERMINAL A COMPRESSAO EM COBRE ESTANHADO PARA CABO 16 MM2, 1 FURO E 1 COMPRESSAO, PARA PARAFUSO DE FIXACAO M6</t>
  </si>
  <si>
    <t>ELETRODUTO FLEXIVEL CORRUGADO 1" PVC TIGREFLEX</t>
  </si>
  <si>
    <t>CABO FLEX ISOL. TERMOPLAST. 750V - 4,00 MM2 - 70º</t>
  </si>
  <si>
    <t>Aluguel mensal de instrumento de topografia ( Estação Total )</t>
  </si>
  <si>
    <t>Aluguel mensal de veículos tipo Gol  1.6, exclusive motorista e combustível</t>
  </si>
  <si>
    <t>Gasolina</t>
  </si>
  <si>
    <t>Argamassa de cimento e areia 1:3 - confecção em betoneira e lançamento manual - areia comercial</t>
  </si>
  <si>
    <t>Alvenaria de blocos de concreto 19 x 19 x 39 cm com espessura de 20 cm - areia comercial</t>
  </si>
  <si>
    <t>Fôrmas de tábuas de pinho para dispositivos de drenagem - utilização de 3 vezes - confecção, instalação e retirada</t>
  </si>
  <si>
    <t>Caixa de passagem de alvenaria de blocos de concreto 9x19x39cm, dimensões de 30x30x50cm, com revestimento interno em chapisco e reboco, tampa de concreto esp.5cm e lastro de brita 5 cm</t>
  </si>
  <si>
    <t>Escavação manual em material de 1a. categoria, até 1.50 m de profundidade</t>
  </si>
  <si>
    <t>Aterro compactado utilizando compactador de placa vibratória com reaproveitamento do material</t>
  </si>
  <si>
    <t>Abertura e fechamento de rasgos em concreto, para passagem de tubulações, diâm. 1/2" a 1"</t>
  </si>
  <si>
    <t>Moto serra 15" (gas.)</t>
  </si>
  <si>
    <t>Guindauto 6t, Madal-Palfinger ou equivalente</t>
  </si>
  <si>
    <t>Encarregado de pista</t>
  </si>
  <si>
    <t>Servente</t>
  </si>
  <si>
    <t>Caminhão com sistema de hidrojateamento de alta pressão e vácuo para limpeza e desobstrução de bueiros com capacidade total de 15.600 l - 188 kW</t>
  </si>
  <si>
    <t>Pedreiro</t>
  </si>
  <si>
    <t>Encarregado de O.A.C.</t>
  </si>
  <si>
    <t>Vassoura mecânica rebocável com largura de 2,44 m</t>
  </si>
  <si>
    <t>Trator agrícola sobre pneus - 77 kW</t>
  </si>
  <si>
    <t>Compressor de ar portátil de 160,46 l/s (340 PCM) - 81 kW</t>
  </si>
  <si>
    <t>Encarregado de pavimentação</t>
  </si>
  <si>
    <t>BETONEIRA 320 L (E301)</t>
  </si>
  <si>
    <t>CAMINHAO BASC M BENZ LK1620 6 M3 (10,5T) - (E403)</t>
  </si>
  <si>
    <t>CARREG. DE PNEUS CASE W-20 1,33M3 (1.0) (E016)</t>
  </si>
  <si>
    <t>CAMINHAO CARR MBENZ L1620/51 C/GUIND. 6T X M(E434)</t>
  </si>
  <si>
    <t>AJUDANTE (AJUDANTE PRATICO - SINDUSCON)</t>
  </si>
  <si>
    <t>H</t>
  </si>
  <si>
    <t>ELETRICISTA (OFICIAL - SINDUSCON)</t>
  </si>
  <si>
    <t>CARPINTEIRO (OFICIAL - SINDUSCON)</t>
  </si>
  <si>
    <t>PEDREIRO - (OFICIAL - SINDUSCON)</t>
  </si>
  <si>
    <t>SERVENTE (AUXILIAR DE OBRAS - SINDUSCON)</t>
  </si>
  <si>
    <t>Almoxarife</t>
  </si>
  <si>
    <t>Engenheiro</t>
  </si>
  <si>
    <t>Auxiliar técnico</t>
  </si>
  <si>
    <t>Topógrafo</t>
  </si>
  <si>
    <t>Auxiliar de topografia</t>
  </si>
  <si>
    <t>Retroescavadeira de pneus com capacidade de 0,76 m³ - 58 kW</t>
  </si>
  <si>
    <t>Caminhão tanque com capacidade de 10.000 l - 188 kW</t>
  </si>
  <si>
    <t>Encarregado de terraplenagem</t>
  </si>
  <si>
    <t>Pescoço p/ PV  H= 0,30 m diam= 0,60 m (anel de concreto pré-moldado)</t>
  </si>
  <si>
    <t>Grelha metálica para boca de lobo com capacidade de até 300 kN - C = 0,90 m e L = 0,30 m</t>
  </si>
  <si>
    <t>Areia suja jazida com carregamento mecânico</t>
  </si>
  <si>
    <t>TRANSPORTES TERRAPLENAGEM E SERVIÇOS PRELIMINARES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</si>
</sst>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.00\ &quot;€&quot;_-;\-* #,##0.00\ &quot;€&quot;_-;_-* &quot;-&quot;??\ &quot;€&quot;_-;_-@_-"/>
    <numFmt numFmtId="166" formatCode="_(* #,##0.00_);_(* \(#,##0.00\);_(* &quot;-&quot;??_);_(@_)"/>
    <numFmt numFmtId="167" formatCode="0.0"/>
    <numFmt numFmtId="168" formatCode="0.0000"/>
    <numFmt numFmtId="169" formatCode="0.000"/>
    <numFmt numFmtId="170" formatCode="0.000000"/>
    <numFmt numFmtId="171" formatCode="0.0000000"/>
    <numFmt numFmtId="172" formatCode="0.00000"/>
    <numFmt numFmtId="173" formatCode="0.0000%"/>
    <numFmt numFmtId="174" formatCode="#,##0.000"/>
    <numFmt numFmtId="175" formatCode="0.00\ &quot;Km&quot;"/>
    <numFmt numFmtId="176" formatCode="&quot;SERVIÇO: &quot;@"/>
    <numFmt numFmtId="177" formatCode="&quot;REFERENCIA:              &quot;@"/>
    <numFmt numFmtId="178" formatCode="#,##0.0000"/>
    <numFmt numFmtId="179" formatCode="&quot;R$&quot;\ #,##0.00"/>
    <numFmt numFmtId="180" formatCode="&quot;R$&quot;#,##0.00"/>
    <numFmt numFmtId="181" formatCode="#,##0.00000"/>
    <numFmt numFmtId="182" formatCode="_-&quot;R$&quot;\ * #,##0.000_-;\-&quot;R$&quot;\ * #,##0.000_-;_-&quot;R$&quot;\ * &quot;-&quot;??_-;_-@_-"/>
    <numFmt numFmtId="183" formatCode="0\ &quot;meses&quot;"/>
    <numFmt numFmtId="184" formatCode="[$-416]mmm\-yy;@"/>
    <numFmt numFmtId="185" formatCode="_-* #,##0.00_-;\-* #,##0.00_-;_-* &quot;-&quot;??_-;_-@"/>
    <numFmt numFmtId="186" formatCode="_-* #,##0.000_-;\-* #,##0.000_-;_-* &quot;-&quot;??_-;_-@"/>
    <numFmt numFmtId="187" formatCode="_-* #,##0.0000_-;\-* #,##0.0000_-;_-* &quot;-&quot;??_-;_-@"/>
    <numFmt numFmtId="188" formatCode="_-* #,##0.00000_-;\-* #,##0.00000_-;_-* &quot;-&quot;??_-;_-@"/>
    <numFmt numFmtId="189" formatCode="mmm\-yy"/>
    <numFmt numFmtId="190" formatCode="0.00000000"/>
    <numFmt numFmtId="191" formatCode="_-* #,##0.000000_-;\-* #,##0.000000_-;_-* &quot;-&quot;??_-;_-@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0.00&quot; m&quot;"/>
    <numFmt numFmtId="197" formatCode="0.00000%"/>
    <numFmt numFmtId="198" formatCode="0.000000%"/>
    <numFmt numFmtId="199" formatCode="0.0000000%"/>
    <numFmt numFmtId="200" formatCode="0.00&quot; t/m³&quot;"/>
    <numFmt numFmtId="201" formatCode="0.000&quot; t/m³&quot;"/>
    <numFmt numFmtId="202" formatCode="_-* #,##0.000_-;\-* #,##0.000_-;_-* &quot;-&quot;???_-;_-@_-"/>
    <numFmt numFmtId="203" formatCode="_-&quot;R$&quot;\ * #,##0.000_-;\-&quot;R$&quot;\ * #,##0.000_-;_-&quot;R$&quot;\ * &quot;-&quot;???_-;_-@_-"/>
    <numFmt numFmtId="204" formatCode="0.000\ &quot;Km&quot;"/>
    <numFmt numFmtId="205" formatCode="[$-416]dddd\,\ d&quot; de &quot;mmmm&quot; de &quot;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1"/>
      <name val="Berlin Sans FB Dem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12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Berlin Sans FB Dem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rgb="FF0000FF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Berlin Sans FB Dem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theme="3" tint="0.7999799847602844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hair"/>
    </border>
    <border>
      <left style="thin"/>
      <right style="medium"/>
      <top style="medium"/>
      <bottom style="hair"/>
    </border>
    <border>
      <left/>
      <right style="thin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/>
      <bottom/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/>
      <bottom/>
    </border>
    <border>
      <left style="thin">
        <color rgb="FF000000"/>
      </left>
      <right style="medium"/>
      <top>
        <color indexed="63"/>
      </top>
      <bottom style="hair">
        <color rgb="FF000000"/>
      </bottom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 style="thin"/>
      <top style="hair"/>
      <bottom/>
    </border>
    <border>
      <left style="hair">
        <color rgb="FF000000"/>
      </left>
      <right style="hair">
        <color rgb="FF000000"/>
      </right>
      <top/>
      <bottom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hair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 style="medium">
        <color rgb="FF000000"/>
      </bottom>
    </border>
    <border>
      <left style="hair">
        <color rgb="FF000000"/>
      </left>
      <right/>
      <top style="hair">
        <color rgb="FF000000"/>
      </top>
      <bottom style="medium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/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/>
      <top style="hair">
        <color rgb="FF000000"/>
      </top>
      <bottom style="thin"/>
    </border>
    <border>
      <left style="hair">
        <color rgb="FF000000"/>
      </left>
      <right/>
      <top style="hair">
        <color rgb="FF000000"/>
      </top>
      <bottom style="thin"/>
    </border>
    <border>
      <left/>
      <right/>
      <top style="hair">
        <color rgb="FF000000"/>
      </top>
      <bottom style="thin"/>
    </border>
    <border>
      <left/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medium">
        <color rgb="FF000000"/>
      </left>
      <right/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/>
      <top style="hair"/>
      <bottom style="thin"/>
    </border>
    <border>
      <left style="medium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/>
      <right style="thin"/>
      <top style="thin"/>
      <bottom style="medium"/>
    </border>
    <border>
      <left style="medium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/>
      <right style="hair">
        <color rgb="FF000000"/>
      </right>
      <top>
        <color indexed="63"/>
      </top>
      <bottom style="thin">
        <color rgb="FF000000"/>
      </bottom>
    </border>
    <border>
      <left/>
      <right/>
      <top style="medium"/>
      <bottom style="thin"/>
    </border>
    <border>
      <left>
        <color indexed="63"/>
      </left>
      <right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hair"/>
      <bottom style="medium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hair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medium">
        <color rgb="FF000000"/>
      </right>
      <top style="thin"/>
      <bottom>
        <color indexed="63"/>
      </bottom>
    </border>
    <border>
      <left style="hair">
        <color rgb="FF000000"/>
      </left>
      <right style="medium">
        <color rgb="FF000000"/>
      </right>
      <top>
        <color indexed="63"/>
      </top>
      <bottom style="thin"/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>
        <color indexed="63"/>
      </top>
      <bottom style="thin">
        <color rgb="FF000000"/>
      </bottom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15" fillId="22" borderId="2" applyNumberFormat="0" applyAlignment="0" applyProtection="0"/>
    <xf numFmtId="0" fontId="50" fillId="23" borderId="3" applyNumberFormat="0" applyAlignment="0" applyProtection="0"/>
    <xf numFmtId="0" fontId="51" fillId="0" borderId="4" applyNumberFormat="0" applyFill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2" fillId="30" borderId="1" applyNumberFormat="0" applyAlignment="0" applyProtection="0"/>
    <xf numFmtId="0" fontId="16" fillId="31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0" fontId="5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3" borderId="5" applyNumberFormat="0" applyFont="0" applyAlignment="0" applyProtection="0"/>
    <xf numFmtId="0" fontId="2" fillId="34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35" borderId="0" applyNumberFormat="0" applyBorder="0" applyAlignment="0" applyProtection="0"/>
    <xf numFmtId="0" fontId="57" fillId="21" borderId="7" applyNumberFormat="0" applyAlignment="0" applyProtection="0"/>
    <xf numFmtId="0" fontId="17" fillId="22" borderId="8" applyNumberFormat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3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14" fillId="0" borderId="14" applyNumberFormat="0" applyFill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</cellStyleXfs>
  <cellXfs count="993">
    <xf numFmtId="0" fontId="0" fillId="0" borderId="0" xfId="0" applyFont="1" applyAlignment="1">
      <alignment/>
    </xf>
    <xf numFmtId="0" fontId="65" fillId="0" borderId="0" xfId="0" applyFont="1" applyFill="1" applyAlignment="1">
      <alignment/>
    </xf>
    <xf numFmtId="0" fontId="6" fillId="0" borderId="15" xfId="64" applyFont="1" applyFill="1" applyBorder="1" applyAlignment="1">
      <alignment horizontal="center" vertical="center" wrapText="1"/>
      <protection/>
    </xf>
    <xf numFmtId="0" fontId="6" fillId="0" borderId="16" xfId="64" applyFont="1" applyFill="1" applyBorder="1" applyAlignment="1">
      <alignment horizontal="center" vertical="center" wrapText="1"/>
      <protection/>
    </xf>
    <xf numFmtId="4" fontId="6" fillId="0" borderId="16" xfId="56" applyNumberFormat="1" applyFont="1" applyFill="1" applyBorder="1" applyAlignment="1">
      <alignment horizontal="left" vertical="center" wrapText="1"/>
      <protection/>
    </xf>
    <xf numFmtId="4" fontId="6" fillId="0" borderId="16" xfId="56" applyNumberFormat="1" applyFont="1" applyFill="1" applyBorder="1" applyAlignment="1">
      <alignment horizontal="center" vertical="center" wrapText="1"/>
      <protection/>
    </xf>
    <xf numFmtId="4" fontId="5" fillId="0" borderId="17" xfId="64" applyNumberFormat="1" applyFont="1" applyFill="1" applyBorder="1" applyAlignment="1">
      <alignment horizontal="center" vertical="center" wrapText="1"/>
      <protection/>
    </xf>
    <xf numFmtId="0" fontId="66" fillId="0" borderId="16" xfId="0" applyFont="1" applyFill="1" applyBorder="1" applyAlignment="1">
      <alignment horizontal="center" vertical="center"/>
    </xf>
    <xf numFmtId="4" fontId="6" fillId="0" borderId="16" xfId="58" applyNumberFormat="1" applyFont="1" applyFill="1" applyBorder="1" applyAlignment="1">
      <alignment horizontal="left" vertical="center" wrapText="1"/>
      <protection/>
    </xf>
    <xf numFmtId="4" fontId="6" fillId="0" borderId="16" xfId="58" applyNumberFormat="1" applyFont="1" applyFill="1" applyBorder="1" applyAlignment="1">
      <alignment horizontal="center" vertical="center" wrapText="1"/>
      <protection/>
    </xf>
    <xf numFmtId="4" fontId="6" fillId="0" borderId="18" xfId="58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 wrapText="1"/>
    </xf>
    <xf numFmtId="4" fontId="5" fillId="36" borderId="19" xfId="64" applyNumberFormat="1" applyFont="1" applyFill="1" applyBorder="1" applyAlignment="1">
      <alignment horizontal="center" vertical="center" wrapText="1"/>
      <protection/>
    </xf>
    <xf numFmtId="4" fontId="8" fillId="37" borderId="20" xfId="64" applyNumberFormat="1" applyFont="1" applyFill="1" applyBorder="1" applyAlignment="1">
      <alignment vertical="center" wrapText="1"/>
      <protection/>
    </xf>
    <xf numFmtId="4" fontId="8" fillId="37" borderId="20" xfId="58" applyNumberFormat="1" applyFont="1" applyFill="1" applyBorder="1" applyAlignment="1">
      <alignment horizontal="center" vertical="center" wrapText="1"/>
      <protection/>
    </xf>
    <xf numFmtId="4" fontId="8" fillId="37" borderId="20" xfId="64" applyNumberFormat="1" applyFont="1" applyFill="1" applyBorder="1" applyAlignment="1">
      <alignment horizontal="center" vertical="center" wrapText="1"/>
      <protection/>
    </xf>
    <xf numFmtId="10" fontId="8" fillId="37" borderId="21" xfId="74" applyNumberFormat="1" applyFont="1" applyFill="1" applyBorder="1" applyAlignment="1">
      <alignment horizontal="center" vertical="center"/>
    </xf>
    <xf numFmtId="0" fontId="8" fillId="37" borderId="15" xfId="64" applyFont="1" applyFill="1" applyBorder="1" applyAlignment="1">
      <alignment horizontal="center" vertical="center" wrapText="1"/>
      <protection/>
    </xf>
    <xf numFmtId="0" fontId="8" fillId="37" borderId="20" xfId="64" applyFont="1" applyFill="1" applyBorder="1" applyAlignment="1">
      <alignment vertical="center" wrapText="1"/>
      <protection/>
    </xf>
    <xf numFmtId="0" fontId="7" fillId="8" borderId="22" xfId="64" applyFont="1" applyFill="1" applyBorder="1" applyAlignment="1">
      <alignment horizontal="center" vertical="center" wrapText="1"/>
      <protection/>
    </xf>
    <xf numFmtId="0" fontId="7" fillId="8" borderId="19" xfId="64" applyFont="1" applyFill="1" applyBorder="1" applyAlignment="1">
      <alignment horizontal="center" vertical="center" wrapText="1"/>
      <protection/>
    </xf>
    <xf numFmtId="0" fontId="7" fillId="8" borderId="19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0" fontId="67" fillId="38" borderId="0" xfId="0" applyFont="1" applyFill="1" applyAlignment="1">
      <alignment/>
    </xf>
    <xf numFmtId="4" fontId="67" fillId="38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4" fontId="7" fillId="8" borderId="23" xfId="58" applyNumberFormat="1" applyFont="1" applyFill="1" applyBorder="1" applyAlignment="1">
      <alignment horizontal="center" vertical="center" wrapText="1"/>
      <protection/>
    </xf>
    <xf numFmtId="10" fontId="7" fillId="8" borderId="24" xfId="0" applyNumberFormat="1" applyFont="1" applyFill="1" applyBorder="1" applyAlignment="1">
      <alignment horizontal="center" vertical="center"/>
    </xf>
    <xf numFmtId="0" fontId="5" fillId="0" borderId="22" xfId="64" applyFont="1" applyFill="1" applyBorder="1" applyAlignment="1">
      <alignment horizontal="center" vertical="center" wrapText="1"/>
      <protection/>
    </xf>
    <xf numFmtId="0" fontId="5" fillId="0" borderId="19" xfId="64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4" fontId="66" fillId="38" borderId="16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6" fillId="0" borderId="26" xfId="64" applyFont="1" applyFill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8" fillId="38" borderId="27" xfId="0" applyFont="1" applyFill="1" applyBorder="1" applyAlignment="1">
      <alignment horizontal="right" vertical="center"/>
    </xf>
    <xf numFmtId="0" fontId="66" fillId="38" borderId="28" xfId="0" applyFont="1" applyFill="1" applyBorder="1" applyAlignment="1">
      <alignment horizontal="center" vertical="center" wrapText="1"/>
    </xf>
    <xf numFmtId="0" fontId="5" fillId="38" borderId="17" xfId="57" applyFont="1" applyFill="1" applyBorder="1" applyAlignment="1">
      <alignment horizontal="center" vertical="center" wrapText="1"/>
      <protection/>
    </xf>
    <xf numFmtId="0" fontId="66" fillId="38" borderId="16" xfId="0" applyFont="1" applyFill="1" applyBorder="1" applyAlignment="1">
      <alignment horizontal="left" vertical="center" wrapText="1"/>
    </xf>
    <xf numFmtId="4" fontId="6" fillId="38" borderId="21" xfId="57" applyNumberFormat="1" applyFont="1" applyFill="1" applyBorder="1" applyAlignment="1">
      <alignment horizontal="center" vertical="center" wrapText="1"/>
      <protection/>
    </xf>
    <xf numFmtId="0" fontId="66" fillId="38" borderId="29" xfId="0" applyFont="1" applyFill="1" applyBorder="1" applyAlignment="1">
      <alignment horizontal="center" vertical="center"/>
    </xf>
    <xf numFmtId="4" fontId="66" fillId="39" borderId="17" xfId="0" applyNumberFormat="1" applyFont="1" applyFill="1" applyBorder="1" applyAlignment="1">
      <alignment horizontal="center" vertical="center"/>
    </xf>
    <xf numFmtId="0" fontId="69" fillId="38" borderId="30" xfId="0" applyFont="1" applyFill="1" applyBorder="1" applyAlignment="1">
      <alignment horizontal="center" vertical="center"/>
    </xf>
    <xf numFmtId="0" fontId="69" fillId="38" borderId="31" xfId="0" applyFont="1" applyFill="1" applyBorder="1" applyAlignment="1">
      <alignment horizontal="center" vertical="center"/>
    </xf>
    <xf numFmtId="0" fontId="69" fillId="38" borderId="32" xfId="0" applyFont="1" applyFill="1" applyBorder="1" applyAlignment="1">
      <alignment horizontal="center" vertical="center" wrapText="1"/>
    </xf>
    <xf numFmtId="0" fontId="66" fillId="38" borderId="16" xfId="0" applyFont="1" applyFill="1" applyBorder="1" applyAlignment="1">
      <alignment horizontal="center" vertical="center"/>
    </xf>
    <xf numFmtId="2" fontId="66" fillId="38" borderId="33" xfId="0" applyNumberFormat="1" applyFont="1" applyFill="1" applyBorder="1" applyAlignment="1">
      <alignment horizontal="center" vertical="center"/>
    </xf>
    <xf numFmtId="2" fontId="66" fillId="38" borderId="34" xfId="0" applyNumberFormat="1" applyFont="1" applyFill="1" applyBorder="1" applyAlignment="1">
      <alignment horizontal="center" vertical="center"/>
    </xf>
    <xf numFmtId="2" fontId="66" fillId="39" borderId="35" xfId="0" applyNumberFormat="1" applyFont="1" applyFill="1" applyBorder="1" applyAlignment="1">
      <alignment horizontal="center" vertical="center"/>
    </xf>
    <xf numFmtId="2" fontId="66" fillId="38" borderId="17" xfId="0" applyNumberFormat="1" applyFont="1" applyFill="1" applyBorder="1" applyAlignment="1">
      <alignment horizontal="center" vertical="center"/>
    </xf>
    <xf numFmtId="2" fontId="66" fillId="39" borderId="17" xfId="0" applyNumberFormat="1" applyFont="1" applyFill="1" applyBorder="1" applyAlignment="1">
      <alignment horizontal="center" vertical="center"/>
    </xf>
    <xf numFmtId="2" fontId="66" fillId="38" borderId="21" xfId="0" applyNumberFormat="1" applyFont="1" applyFill="1" applyBorder="1" applyAlignment="1">
      <alignment horizontal="center" vertical="center"/>
    </xf>
    <xf numFmtId="0" fontId="66" fillId="38" borderId="15" xfId="0" applyFont="1" applyFill="1" applyBorder="1" applyAlignment="1">
      <alignment horizontal="center" vertical="center"/>
    </xf>
    <xf numFmtId="0" fontId="66" fillId="38" borderId="36" xfId="0" applyFont="1" applyFill="1" applyBorder="1" applyAlignment="1">
      <alignment horizontal="center" vertical="center"/>
    </xf>
    <xf numFmtId="2" fontId="66" fillId="38" borderId="18" xfId="0" applyNumberFormat="1" applyFont="1" applyFill="1" applyBorder="1" applyAlignment="1">
      <alignment horizontal="center" vertical="center"/>
    </xf>
    <xf numFmtId="168" fontId="66" fillId="38" borderId="21" xfId="0" applyNumberFormat="1" applyFont="1" applyFill="1" applyBorder="1" applyAlignment="1">
      <alignment horizontal="center" vertical="center"/>
    </xf>
    <xf numFmtId="0" fontId="66" fillId="38" borderId="37" xfId="0" applyFont="1" applyFill="1" applyBorder="1" applyAlignment="1">
      <alignment horizontal="center" vertical="center" wrapText="1"/>
    </xf>
    <xf numFmtId="0" fontId="66" fillId="38" borderId="20" xfId="0" applyFont="1" applyFill="1" applyBorder="1" applyAlignment="1">
      <alignment horizontal="left" vertical="center" wrapText="1"/>
    </xf>
    <xf numFmtId="2" fontId="66" fillId="38" borderId="20" xfId="0" applyNumberFormat="1" applyFont="1" applyFill="1" applyBorder="1" applyAlignment="1">
      <alignment horizontal="center" vertical="center"/>
    </xf>
    <xf numFmtId="179" fontId="66" fillId="38" borderId="38" xfId="0" applyNumberFormat="1" applyFont="1" applyFill="1" applyBorder="1" applyAlignment="1">
      <alignment horizontal="center" vertical="center"/>
    </xf>
    <xf numFmtId="179" fontId="66" fillId="38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68" fillId="38" borderId="39" xfId="0" applyFont="1" applyFill="1" applyBorder="1" applyAlignment="1">
      <alignment horizontal="center" vertical="center"/>
    </xf>
    <xf numFmtId="0" fontId="66" fillId="38" borderId="28" xfId="0" applyFont="1" applyFill="1" applyBorder="1" applyAlignment="1">
      <alignment horizontal="center" vertical="center"/>
    </xf>
    <xf numFmtId="0" fontId="6" fillId="38" borderId="40" xfId="57" applyFont="1" applyFill="1" applyBorder="1" applyAlignment="1">
      <alignment horizontal="center" vertical="center"/>
      <protection/>
    </xf>
    <xf numFmtId="0" fontId="6" fillId="38" borderId="37" xfId="57" applyFont="1" applyFill="1" applyBorder="1" applyAlignment="1">
      <alignment horizontal="center" vertical="center"/>
      <protection/>
    </xf>
    <xf numFmtId="0" fontId="6" fillId="38" borderId="20" xfId="57" applyFont="1" applyFill="1" applyBorder="1" applyAlignment="1">
      <alignment horizontal="left" vertical="center" wrapText="1"/>
      <protection/>
    </xf>
    <xf numFmtId="0" fontId="6" fillId="38" borderId="20" xfId="57" applyFont="1" applyFill="1" applyBorder="1" applyAlignment="1">
      <alignment horizontal="center" vertical="center" wrapText="1"/>
      <protection/>
    </xf>
    <xf numFmtId="4" fontId="6" fillId="38" borderId="20" xfId="57" applyNumberFormat="1" applyFont="1" applyFill="1" applyBorder="1" applyAlignment="1">
      <alignment horizontal="center" vertical="center"/>
      <protection/>
    </xf>
    <xf numFmtId="0" fontId="66" fillId="39" borderId="17" xfId="0" applyFont="1" applyFill="1" applyBorder="1" applyAlignment="1">
      <alignment horizontal="center" vertical="center"/>
    </xf>
    <xf numFmtId="0" fontId="66" fillId="38" borderId="41" xfId="0" applyFont="1" applyFill="1" applyBorder="1" applyAlignment="1">
      <alignment horizontal="center" vertical="center"/>
    </xf>
    <xf numFmtId="0" fontId="66" fillId="38" borderId="42" xfId="0" applyFont="1" applyFill="1" applyBorder="1" applyAlignment="1">
      <alignment horizontal="center" vertical="center"/>
    </xf>
    <xf numFmtId="0" fontId="66" fillId="38" borderId="40" xfId="0" applyFont="1" applyFill="1" applyBorder="1" applyAlignment="1">
      <alignment horizontal="center" vertical="center"/>
    </xf>
    <xf numFmtId="0" fontId="66" fillId="38" borderId="43" xfId="0" applyFont="1" applyFill="1" applyBorder="1" applyAlignment="1">
      <alignment horizontal="center" vertical="center"/>
    </xf>
    <xf numFmtId="10" fontId="69" fillId="38" borderId="44" xfId="0" applyNumberFormat="1" applyFont="1" applyFill="1" applyBorder="1" applyAlignment="1">
      <alignment horizontal="center" vertical="center"/>
    </xf>
    <xf numFmtId="2" fontId="66" fillId="38" borderId="35" xfId="0" applyNumberFormat="1" applyFont="1" applyFill="1" applyBorder="1" applyAlignment="1">
      <alignment horizontal="center" vertical="center"/>
    </xf>
    <xf numFmtId="179" fontId="69" fillId="38" borderId="45" xfId="0" applyNumberFormat="1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vertical="center" wrapText="1"/>
    </xf>
    <xf numFmtId="4" fontId="66" fillId="38" borderId="33" xfId="0" applyNumberFormat="1" applyFont="1" applyFill="1" applyBorder="1" applyAlignment="1">
      <alignment horizontal="center" vertical="center"/>
    </xf>
    <xf numFmtId="4" fontId="66" fillId="38" borderId="18" xfId="0" applyNumberFormat="1" applyFont="1" applyFill="1" applyBorder="1" applyAlignment="1">
      <alignment horizontal="center" vertical="center"/>
    </xf>
    <xf numFmtId="0" fontId="66" fillId="38" borderId="20" xfId="0" applyFont="1" applyFill="1" applyBorder="1" applyAlignment="1">
      <alignment horizontal="center" vertical="center"/>
    </xf>
    <xf numFmtId="4" fontId="66" fillId="38" borderId="34" xfId="0" applyNumberFormat="1" applyFont="1" applyFill="1" applyBorder="1" applyAlignment="1">
      <alignment horizontal="center" vertical="center"/>
    </xf>
    <xf numFmtId="4" fontId="66" fillId="39" borderId="35" xfId="0" applyNumberFormat="1" applyFont="1" applyFill="1" applyBorder="1" applyAlignment="1">
      <alignment horizontal="center" vertical="center"/>
    </xf>
    <xf numFmtId="2" fontId="69" fillId="38" borderId="46" xfId="0" applyNumberFormat="1" applyFont="1" applyFill="1" applyBorder="1" applyAlignment="1">
      <alignment horizontal="center" vertical="center"/>
    </xf>
    <xf numFmtId="0" fontId="69" fillId="38" borderId="46" xfId="0" applyFont="1" applyFill="1" applyBorder="1" applyAlignment="1">
      <alignment vertical="center"/>
    </xf>
    <xf numFmtId="0" fontId="69" fillId="38" borderId="28" xfId="0" applyFont="1" applyFill="1" applyBorder="1" applyAlignment="1">
      <alignment vertical="center"/>
    </xf>
    <xf numFmtId="179" fontId="69" fillId="38" borderId="24" xfId="0" applyNumberFormat="1" applyFont="1" applyFill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 wrapText="1"/>
    </xf>
    <xf numFmtId="4" fontId="66" fillId="0" borderId="48" xfId="0" applyNumberFormat="1" applyFont="1" applyBorder="1" applyAlignment="1">
      <alignment horizontal="center" vertical="center" wrapText="1"/>
    </xf>
    <xf numFmtId="170" fontId="66" fillId="0" borderId="48" xfId="0" applyNumberFormat="1" applyFont="1" applyBorder="1" applyAlignment="1">
      <alignment horizontal="center" vertical="center" wrapText="1"/>
    </xf>
    <xf numFmtId="172" fontId="66" fillId="0" borderId="48" xfId="0" applyNumberFormat="1" applyFont="1" applyBorder="1" applyAlignment="1">
      <alignment horizontal="center" vertical="center" wrapText="1"/>
    </xf>
    <xf numFmtId="4" fontId="66" fillId="0" borderId="23" xfId="0" applyNumberFormat="1" applyFont="1" applyBorder="1" applyAlignment="1">
      <alignment horizontal="center" vertical="center" wrapText="1"/>
    </xf>
    <xf numFmtId="172" fontId="66" fillId="0" borderId="4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172" fontId="66" fillId="0" borderId="50" xfId="0" applyNumberFormat="1" applyFont="1" applyBorder="1" applyAlignment="1">
      <alignment horizontal="center" vertical="center" wrapText="1"/>
    </xf>
    <xf numFmtId="2" fontId="66" fillId="0" borderId="51" xfId="0" applyNumberFormat="1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2" fontId="66" fillId="2" borderId="50" xfId="0" applyNumberFormat="1" applyFont="1" applyFill="1" applyBorder="1" applyAlignment="1">
      <alignment horizontal="center" vertical="center" wrapText="1"/>
    </xf>
    <xf numFmtId="170" fontId="66" fillId="0" borderId="49" xfId="0" applyNumberFormat="1" applyFont="1" applyBorder="1" applyAlignment="1">
      <alignment horizontal="center" vertical="center" wrapText="1"/>
    </xf>
    <xf numFmtId="170" fontId="66" fillId="0" borderId="52" xfId="0" applyNumberFormat="1" applyFont="1" applyBorder="1" applyAlignment="1">
      <alignment horizontal="center" vertical="center" wrapText="1"/>
    </xf>
    <xf numFmtId="0" fontId="69" fillId="39" borderId="53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2" fontId="66" fillId="0" borderId="0" xfId="0" applyNumberFormat="1" applyFont="1" applyAlignment="1">
      <alignment vertical="center" wrapText="1"/>
    </xf>
    <xf numFmtId="172" fontId="66" fillId="0" borderId="0" xfId="0" applyNumberFormat="1" applyFont="1" applyAlignment="1">
      <alignment vertical="center" wrapText="1"/>
    </xf>
    <xf numFmtId="0" fontId="6" fillId="0" borderId="15" xfId="64" applyFont="1" applyBorder="1" applyAlignment="1">
      <alignment horizontal="center" vertical="center" wrapText="1"/>
      <protection/>
    </xf>
    <xf numFmtId="172" fontId="66" fillId="0" borderId="54" xfId="0" applyNumberFormat="1" applyFont="1" applyBorder="1" applyAlignment="1">
      <alignment horizontal="center" vertical="center" wrapText="1"/>
    </xf>
    <xf numFmtId="170" fontId="66" fillId="0" borderId="50" xfId="0" applyNumberFormat="1" applyFont="1" applyBorder="1" applyAlignment="1">
      <alignment horizontal="center" vertical="center" wrapText="1"/>
    </xf>
    <xf numFmtId="172" fontId="66" fillId="0" borderId="51" xfId="0" applyNumberFormat="1" applyFont="1" applyBorder="1" applyAlignment="1">
      <alignment horizontal="center" vertical="center" wrapText="1"/>
    </xf>
    <xf numFmtId="2" fontId="66" fillId="2" borderId="51" xfId="0" applyNumberFormat="1" applyFont="1" applyFill="1" applyBorder="1" applyAlignment="1">
      <alignment horizontal="center" vertical="center" wrapText="1"/>
    </xf>
    <xf numFmtId="170" fontId="66" fillId="0" borderId="51" xfId="0" applyNumberFormat="1" applyFont="1" applyBorder="1" applyAlignment="1">
      <alignment horizontal="center" vertical="center" wrapText="1"/>
    </xf>
    <xf numFmtId="181" fontId="66" fillId="0" borderId="48" xfId="0" applyNumberFormat="1" applyFont="1" applyBorder="1" applyAlignment="1">
      <alignment horizontal="center" vertical="center" wrapText="1"/>
    </xf>
    <xf numFmtId="172" fontId="66" fillId="0" borderId="55" xfId="0" applyNumberFormat="1" applyFont="1" applyBorder="1" applyAlignment="1">
      <alignment horizontal="center" vertical="center" wrapText="1"/>
    </xf>
    <xf numFmtId="2" fontId="66" fillId="0" borderId="49" xfId="0" applyNumberFormat="1" applyFont="1" applyFill="1" applyBorder="1" applyAlignment="1">
      <alignment horizontal="center" vertical="center" wrapText="1"/>
    </xf>
    <xf numFmtId="2" fontId="66" fillId="0" borderId="50" xfId="0" applyNumberFormat="1" applyFont="1" applyFill="1" applyBorder="1" applyAlignment="1">
      <alignment horizontal="center" vertical="center" wrapText="1"/>
    </xf>
    <xf numFmtId="2" fontId="66" fillId="0" borderId="52" xfId="0" applyNumberFormat="1" applyFont="1" applyFill="1" applyBorder="1" applyAlignment="1">
      <alignment horizontal="center" vertical="center" wrapText="1"/>
    </xf>
    <xf numFmtId="2" fontId="66" fillId="0" borderId="0" xfId="0" applyNumberFormat="1" applyFont="1" applyFill="1" applyAlignment="1">
      <alignment vertical="center" wrapText="1"/>
    </xf>
    <xf numFmtId="178" fontId="66" fillId="0" borderId="5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7" fillId="38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 wrapText="1"/>
    </xf>
    <xf numFmtId="10" fontId="2" fillId="38" borderId="0" xfId="72" applyNumberFormat="1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10" fontId="2" fillId="39" borderId="0" xfId="72" applyNumberFormat="1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" fontId="6" fillId="0" borderId="16" xfId="58" applyNumberFormat="1" applyFont="1" applyBorder="1" applyAlignment="1">
      <alignment horizontal="left" vertical="center" wrapText="1"/>
      <protection/>
    </xf>
    <xf numFmtId="4" fontId="6" fillId="0" borderId="16" xfId="58" applyNumberFormat="1" applyFont="1" applyBorder="1" applyAlignment="1">
      <alignment horizontal="center" vertical="center" wrapText="1"/>
      <protection/>
    </xf>
    <xf numFmtId="4" fontId="66" fillId="0" borderId="16" xfId="0" applyNumberFormat="1" applyFont="1" applyBorder="1" applyAlignment="1">
      <alignment horizontal="center" vertical="center"/>
    </xf>
    <xf numFmtId="4" fontId="6" fillId="0" borderId="18" xfId="58" applyNumberFormat="1" applyFont="1" applyBorder="1" applyAlignment="1">
      <alignment horizontal="center" vertical="center" wrapText="1"/>
      <protection/>
    </xf>
    <xf numFmtId="4" fontId="5" fillId="36" borderId="56" xfId="64" applyNumberFormat="1" applyFont="1" applyFill="1" applyBorder="1" applyAlignment="1">
      <alignment vertical="center" wrapText="1"/>
      <protection/>
    </xf>
    <xf numFmtId="4" fontId="5" fillId="36" borderId="57" xfId="64" applyNumberFormat="1" applyFont="1" applyFill="1" applyBorder="1" applyAlignment="1">
      <alignment vertical="center" wrapText="1"/>
      <protection/>
    </xf>
    <xf numFmtId="44" fontId="5" fillId="36" borderId="58" xfId="48" applyFont="1" applyFill="1" applyBorder="1" applyAlignment="1">
      <alignment vertical="center" wrapText="1"/>
    </xf>
    <xf numFmtId="4" fontId="6" fillId="0" borderId="16" xfId="64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2" fontId="66" fillId="0" borderId="59" xfId="0" applyNumberFormat="1" applyFont="1" applyBorder="1" applyAlignment="1">
      <alignment horizontal="center" vertical="center" wrapText="1"/>
    </xf>
    <xf numFmtId="172" fontId="66" fillId="0" borderId="60" xfId="0" applyNumberFormat="1" applyFont="1" applyBorder="1" applyAlignment="1">
      <alignment horizontal="center" vertical="center" wrapText="1"/>
    </xf>
    <xf numFmtId="172" fontId="69" fillId="39" borderId="61" xfId="0" applyNumberFormat="1" applyFont="1" applyFill="1" applyBorder="1" applyAlignment="1">
      <alignment vertical="center"/>
    </xf>
    <xf numFmtId="172" fontId="66" fillId="0" borderId="62" xfId="0" applyNumberFormat="1" applyFont="1" applyBorder="1" applyAlignment="1">
      <alignment horizontal="center" vertical="center" wrapText="1"/>
    </xf>
    <xf numFmtId="172" fontId="66" fillId="0" borderId="63" xfId="0" applyNumberFormat="1" applyFont="1" applyBorder="1" applyAlignment="1">
      <alignment horizontal="center" vertical="center" wrapText="1"/>
    </xf>
    <xf numFmtId="172" fontId="66" fillId="0" borderId="64" xfId="0" applyNumberFormat="1" applyFont="1" applyBorder="1" applyAlignment="1">
      <alignment horizontal="center" vertical="center" wrapText="1"/>
    </xf>
    <xf numFmtId="172" fontId="66" fillId="0" borderId="65" xfId="0" applyNumberFormat="1" applyFont="1" applyBorder="1" applyAlignment="1">
      <alignment horizontal="center" vertical="center" wrapText="1"/>
    </xf>
    <xf numFmtId="2" fontId="66" fillId="0" borderId="50" xfId="0" applyNumberFormat="1" applyFont="1" applyBorder="1" applyAlignment="1">
      <alignment horizontal="center" vertical="center" wrapText="1"/>
    </xf>
    <xf numFmtId="174" fontId="66" fillId="0" borderId="49" xfId="0" applyNumberFormat="1" applyFont="1" applyBorder="1" applyAlignment="1">
      <alignment horizontal="center" vertical="center" wrapText="1"/>
    </xf>
    <xf numFmtId="0" fontId="68" fillId="0" borderId="27" xfId="0" applyFont="1" applyBorder="1" applyAlignment="1">
      <alignment horizontal="right" vertical="center"/>
    </xf>
    <xf numFmtId="0" fontId="68" fillId="0" borderId="39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/>
    </xf>
    <xf numFmtId="0" fontId="66" fillId="0" borderId="16" xfId="0" applyFont="1" applyBorder="1" applyAlignment="1">
      <alignment horizontal="left" vertical="center" wrapText="1"/>
    </xf>
    <xf numFmtId="2" fontId="66" fillId="0" borderId="16" xfId="0" applyNumberFormat="1" applyFont="1" applyBorder="1" applyAlignment="1">
      <alignment horizontal="center" vertical="center"/>
    </xf>
    <xf numFmtId="4" fontId="6" fillId="0" borderId="21" xfId="57" applyNumberFormat="1" applyFont="1" applyBorder="1" applyAlignment="1">
      <alignment horizontal="center" vertical="center" wrapText="1"/>
      <protection/>
    </xf>
    <xf numFmtId="0" fontId="6" fillId="38" borderId="15" xfId="57" applyFont="1" applyFill="1" applyBorder="1" applyAlignment="1">
      <alignment horizontal="center" vertical="center"/>
      <protection/>
    </xf>
    <xf numFmtId="10" fontId="66" fillId="38" borderId="16" xfId="76" applyNumberFormat="1" applyFont="1" applyFill="1" applyBorder="1" applyAlignment="1">
      <alignment horizontal="center" vertical="center"/>
    </xf>
    <xf numFmtId="10" fontId="69" fillId="0" borderId="44" xfId="0" applyNumberFormat="1" applyFont="1" applyBorder="1" applyAlignment="1">
      <alignment horizontal="center" vertical="center"/>
    </xf>
    <xf numFmtId="2" fontId="66" fillId="0" borderId="17" xfId="0" applyNumberFormat="1" applyFont="1" applyBorder="1" applyAlignment="1">
      <alignment horizontal="center" vertical="center"/>
    </xf>
    <xf numFmtId="2" fontId="66" fillId="0" borderId="35" xfId="0" applyNumberFormat="1" applyFont="1" applyBorder="1" applyAlignment="1">
      <alignment horizontal="center" vertical="center"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6" fillId="0" borderId="41" xfId="57" applyFont="1" applyBorder="1" applyAlignment="1">
      <alignment horizontal="center" vertical="center"/>
      <protection/>
    </xf>
    <xf numFmtId="0" fontId="6" fillId="0" borderId="66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29" xfId="57" applyFont="1" applyBorder="1" applyAlignment="1">
      <alignment horizontal="center" vertical="center"/>
      <protection/>
    </xf>
    <xf numFmtId="0" fontId="6" fillId="0" borderId="40" xfId="57" applyFont="1" applyBorder="1" applyAlignment="1">
      <alignment horizontal="center" vertical="center"/>
      <protection/>
    </xf>
    <xf numFmtId="0" fontId="6" fillId="0" borderId="67" xfId="57" applyFont="1" applyBorder="1" applyAlignment="1">
      <alignment horizontal="center" vertical="center"/>
      <protection/>
    </xf>
    <xf numFmtId="0" fontId="8" fillId="0" borderId="6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10" fontId="8" fillId="39" borderId="28" xfId="72" applyNumberFormat="1" applyFont="1" applyFill="1" applyBorder="1" applyAlignment="1">
      <alignment horizontal="center" vertical="center"/>
    </xf>
    <xf numFmtId="10" fontId="8" fillId="39" borderId="23" xfId="72" applyNumberFormat="1" applyFont="1" applyFill="1" applyBorder="1" applyAlignment="1">
      <alignment horizontal="center" vertical="center"/>
    </xf>
    <xf numFmtId="10" fontId="8" fillId="39" borderId="24" xfId="72" applyNumberFormat="1" applyFont="1" applyFill="1" applyBorder="1" applyAlignment="1">
      <alignment horizontal="center" vertical="center"/>
    </xf>
    <xf numFmtId="10" fontId="8" fillId="38" borderId="60" xfId="72" applyNumberFormat="1" applyFont="1" applyFill="1" applyBorder="1" applyAlignment="1">
      <alignment horizontal="center" vertical="center"/>
    </xf>
    <xf numFmtId="10" fontId="8" fillId="38" borderId="62" xfId="72" applyNumberFormat="1" applyFont="1" applyFill="1" applyBorder="1" applyAlignment="1">
      <alignment horizontal="center" vertical="center"/>
    </xf>
    <xf numFmtId="10" fontId="8" fillId="38" borderId="65" xfId="72" applyNumberFormat="1" applyFont="1" applyFill="1" applyBorder="1" applyAlignment="1">
      <alignment horizontal="center" vertical="center"/>
    </xf>
    <xf numFmtId="10" fontId="8" fillId="38" borderId="70" xfId="72" applyNumberFormat="1" applyFont="1" applyFill="1" applyBorder="1" applyAlignment="1">
      <alignment horizontal="center" vertical="center"/>
    </xf>
    <xf numFmtId="10" fontId="8" fillId="38" borderId="36" xfId="72" applyNumberFormat="1" applyFont="1" applyFill="1" applyBorder="1" applyAlignment="1">
      <alignment horizontal="center" vertical="center"/>
    </xf>
    <xf numFmtId="10" fontId="8" fillId="38" borderId="71" xfId="72" applyNumberFormat="1" applyFont="1" applyFill="1" applyBorder="1" applyAlignment="1">
      <alignment horizontal="center" vertical="center"/>
    </xf>
    <xf numFmtId="4" fontId="68" fillId="0" borderId="38" xfId="0" applyNumberFormat="1" applyFont="1" applyBorder="1" applyAlignment="1">
      <alignment horizontal="center"/>
    </xf>
    <xf numFmtId="4" fontId="70" fillId="0" borderId="70" xfId="0" applyNumberFormat="1" applyFont="1" applyBorder="1" applyAlignment="1">
      <alignment horizontal="center" vertical="center"/>
    </xf>
    <xf numFmtId="4" fontId="70" fillId="0" borderId="49" xfId="0" applyNumberFormat="1" applyFont="1" applyBorder="1" applyAlignment="1">
      <alignment horizontal="center" vertical="center"/>
    </xf>
    <xf numFmtId="4" fontId="70" fillId="0" borderId="60" xfId="0" applyNumberFormat="1" applyFont="1" applyBorder="1" applyAlignment="1">
      <alignment horizontal="center" vertical="center"/>
    </xf>
    <xf numFmtId="4" fontId="68" fillId="0" borderId="18" xfId="0" applyNumberFormat="1" applyFont="1" applyBorder="1" applyAlignment="1">
      <alignment horizontal="center"/>
    </xf>
    <xf numFmtId="0" fontId="70" fillId="10" borderId="19" xfId="0" applyFont="1" applyFill="1" applyBorder="1" applyAlignment="1">
      <alignment horizontal="center" vertical="center"/>
    </xf>
    <xf numFmtId="0" fontId="70" fillId="10" borderId="17" xfId="0" applyFont="1" applyFill="1" applyBorder="1" applyAlignment="1">
      <alignment horizontal="center" vertical="center"/>
    </xf>
    <xf numFmtId="4" fontId="68" fillId="0" borderId="45" xfId="0" applyNumberFormat="1" applyFont="1" applyBorder="1" applyAlignment="1">
      <alignment horizontal="center"/>
    </xf>
    <xf numFmtId="4" fontId="70" fillId="0" borderId="18" xfId="0" applyNumberFormat="1" applyFont="1" applyBorder="1" applyAlignment="1">
      <alignment horizontal="center"/>
    </xf>
    <xf numFmtId="4" fontId="70" fillId="0" borderId="45" xfId="0" applyNumberFormat="1" applyFont="1" applyBorder="1" applyAlignment="1">
      <alignment horizontal="center"/>
    </xf>
    <xf numFmtId="4" fontId="70" fillId="0" borderId="66" xfId="0" applyNumberFormat="1" applyFont="1" applyBorder="1" applyAlignment="1">
      <alignment horizontal="center" vertical="center"/>
    </xf>
    <xf numFmtId="4" fontId="70" fillId="0" borderId="42" xfId="0" applyNumberFormat="1" applyFont="1" applyBorder="1" applyAlignment="1">
      <alignment horizontal="center" vertical="center"/>
    </xf>
    <xf numFmtId="4" fontId="70" fillId="0" borderId="33" xfId="0" applyNumberFormat="1" applyFont="1" applyBorder="1" applyAlignment="1">
      <alignment horizontal="center" vertical="center"/>
    </xf>
    <xf numFmtId="4" fontId="70" fillId="0" borderId="29" xfId="0" applyNumberFormat="1" applyFont="1" applyBorder="1" applyAlignment="1">
      <alignment horizontal="center" vertical="center"/>
    </xf>
    <xf numFmtId="4" fontId="70" fillId="0" borderId="16" xfId="0" applyNumberFormat="1" applyFont="1" applyBorder="1" applyAlignment="1">
      <alignment horizontal="center" vertical="center"/>
    </xf>
    <xf numFmtId="4" fontId="70" fillId="0" borderId="18" xfId="0" applyNumberFormat="1" applyFont="1" applyBorder="1" applyAlignment="1">
      <alignment horizontal="center" vertical="center"/>
    </xf>
    <xf numFmtId="10" fontId="70" fillId="0" borderId="29" xfId="0" applyNumberFormat="1" applyFont="1" applyBorder="1" applyAlignment="1">
      <alignment horizontal="center" vertical="center"/>
    </xf>
    <xf numFmtId="10" fontId="70" fillId="0" borderId="16" xfId="0" applyNumberFormat="1" applyFont="1" applyBorder="1" applyAlignment="1">
      <alignment horizontal="center" vertical="center"/>
    </xf>
    <xf numFmtId="10" fontId="70" fillId="0" borderId="18" xfId="0" applyNumberFormat="1" applyFont="1" applyBorder="1" applyAlignment="1">
      <alignment horizontal="center" vertical="center"/>
    </xf>
    <xf numFmtId="10" fontId="70" fillId="0" borderId="72" xfId="0" applyNumberFormat="1" applyFont="1" applyBorder="1" applyAlignment="1">
      <alignment horizontal="center" vertical="center"/>
    </xf>
    <xf numFmtId="10" fontId="70" fillId="0" borderId="69" xfId="0" applyNumberFormat="1" applyFont="1" applyBorder="1" applyAlignment="1">
      <alignment horizontal="center" vertical="center"/>
    </xf>
    <xf numFmtId="10" fontId="70" fillId="0" borderId="45" xfId="0" applyNumberFormat="1" applyFont="1" applyBorder="1" applyAlignment="1">
      <alignment horizontal="center" vertical="center"/>
    </xf>
    <xf numFmtId="2" fontId="66" fillId="0" borderId="49" xfId="0" applyNumberFormat="1" applyFont="1" applyBorder="1" applyAlignment="1">
      <alignment horizontal="center" vertical="center" wrapText="1"/>
    </xf>
    <xf numFmtId="170" fontId="66" fillId="0" borderId="0" xfId="0" applyNumberFormat="1" applyFont="1" applyAlignment="1">
      <alignment horizontal="center" vertical="center" wrapText="1"/>
    </xf>
    <xf numFmtId="167" fontId="66" fillId="2" borderId="52" xfId="0" applyNumberFormat="1" applyFont="1" applyFill="1" applyBorder="1" applyAlignment="1">
      <alignment horizontal="center" vertical="center" wrapText="1"/>
    </xf>
    <xf numFmtId="168" fontId="66" fillId="0" borderId="51" xfId="0" applyNumberFormat="1" applyFont="1" applyBorder="1" applyAlignment="1">
      <alignment horizontal="center" vertical="center" wrapText="1"/>
    </xf>
    <xf numFmtId="168" fontId="66" fillId="39" borderId="23" xfId="0" applyNumberFormat="1" applyFont="1" applyFill="1" applyBorder="1" applyAlignment="1">
      <alignment horizontal="center" vertical="center" wrapText="1"/>
    </xf>
    <xf numFmtId="168" fontId="66" fillId="0" borderId="0" xfId="0" applyNumberFormat="1" applyFont="1" applyAlignment="1">
      <alignment vertical="center" wrapText="1"/>
    </xf>
    <xf numFmtId="172" fontId="66" fillId="0" borderId="23" xfId="0" applyNumberFormat="1" applyFont="1" applyBorder="1" applyAlignment="1">
      <alignment horizontal="center" vertical="center" wrapText="1"/>
    </xf>
    <xf numFmtId="181" fontId="66" fillId="0" borderId="36" xfId="0" applyNumberFormat="1" applyFont="1" applyBorder="1" applyAlignment="1">
      <alignment horizontal="center" vertical="center" wrapText="1"/>
    </xf>
    <xf numFmtId="181" fontId="66" fillId="0" borderId="0" xfId="0" applyNumberFormat="1" applyFont="1" applyAlignment="1">
      <alignment vertical="center" wrapText="1"/>
    </xf>
    <xf numFmtId="0" fontId="6" fillId="38" borderId="30" xfId="57" applyFont="1" applyFill="1" applyBorder="1" applyAlignment="1">
      <alignment horizontal="center" vertical="center"/>
      <protection/>
    </xf>
    <xf numFmtId="0" fontId="6" fillId="38" borderId="19" xfId="57" applyFont="1" applyFill="1" applyBorder="1" applyAlignment="1">
      <alignment horizontal="center" vertical="center"/>
      <protection/>
    </xf>
    <xf numFmtId="0" fontId="5" fillId="38" borderId="19" xfId="57" applyFont="1" applyFill="1" applyBorder="1" applyAlignment="1">
      <alignment horizontal="center" vertical="center" wrapText="1"/>
      <protection/>
    </xf>
    <xf numFmtId="4" fontId="6" fillId="38" borderId="19" xfId="57" applyNumberFormat="1" applyFont="1" applyFill="1" applyBorder="1" applyAlignment="1">
      <alignment horizontal="center" vertical="center"/>
      <protection/>
    </xf>
    <xf numFmtId="168" fontId="66" fillId="39" borderId="51" xfId="0" applyNumberFormat="1" applyFont="1" applyFill="1" applyBorder="1" applyAlignment="1">
      <alignment horizontal="center" vertical="center" wrapText="1"/>
    </xf>
    <xf numFmtId="0" fontId="6" fillId="0" borderId="20" xfId="64" applyFont="1" applyFill="1" applyBorder="1" applyAlignment="1">
      <alignment horizontal="center" vertical="center" wrapText="1"/>
      <protection/>
    </xf>
    <xf numFmtId="0" fontId="66" fillId="0" borderId="20" xfId="0" applyFont="1" applyFill="1" applyBorder="1" applyAlignment="1">
      <alignment horizontal="center" vertical="center"/>
    </xf>
    <xf numFmtId="4" fontId="6" fillId="0" borderId="20" xfId="58" applyNumberFormat="1" applyFont="1" applyFill="1" applyBorder="1" applyAlignment="1">
      <alignment horizontal="left" vertical="center" wrapText="1"/>
      <protection/>
    </xf>
    <xf numFmtId="4" fontId="6" fillId="0" borderId="20" xfId="58" applyNumberFormat="1" applyFont="1" applyFill="1" applyBorder="1" applyAlignment="1">
      <alignment horizontal="center" vertical="center" wrapText="1"/>
      <protection/>
    </xf>
    <xf numFmtId="4" fontId="6" fillId="0" borderId="21" xfId="58" applyNumberFormat="1" applyFont="1" applyFill="1" applyBorder="1" applyAlignment="1">
      <alignment horizontal="center" vertical="center" wrapText="1"/>
      <protection/>
    </xf>
    <xf numFmtId="0" fontId="6" fillId="0" borderId="73" xfId="64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/>
    </xf>
    <xf numFmtId="2" fontId="66" fillId="0" borderId="23" xfId="0" applyNumberFormat="1" applyFont="1" applyBorder="1" applyAlignment="1">
      <alignment horizontal="center" vertical="center" wrapText="1"/>
    </xf>
    <xf numFmtId="2" fontId="66" fillId="0" borderId="54" xfId="0" applyNumberFormat="1" applyFont="1" applyBorder="1" applyAlignment="1">
      <alignment horizontal="center" vertical="center" wrapText="1"/>
    </xf>
    <xf numFmtId="172" fontId="66" fillId="0" borderId="32" xfId="0" applyNumberFormat="1" applyFont="1" applyBorder="1" applyAlignment="1">
      <alignment horizontal="center" vertical="center" wrapText="1"/>
    </xf>
    <xf numFmtId="181" fontId="66" fillId="0" borderId="23" xfId="0" applyNumberFormat="1" applyFont="1" applyBorder="1" applyAlignment="1">
      <alignment horizontal="center" vertical="center" wrapText="1"/>
    </xf>
    <xf numFmtId="167" fontId="66" fillId="0" borderId="23" xfId="0" applyNumberFormat="1" applyFont="1" applyBorder="1" applyAlignment="1">
      <alignment horizontal="center" vertical="center" wrapText="1"/>
    </xf>
    <xf numFmtId="0" fontId="6" fillId="0" borderId="20" xfId="64" applyFont="1" applyBorder="1" applyAlignment="1">
      <alignment horizontal="center" vertical="center" wrapText="1"/>
      <protection/>
    </xf>
    <xf numFmtId="4" fontId="10" fillId="0" borderId="24" xfId="64" applyNumberFormat="1" applyFont="1" applyFill="1" applyBorder="1" applyAlignment="1">
      <alignment horizontal="center" vertical="center" wrapText="1"/>
      <protection/>
    </xf>
    <xf numFmtId="2" fontId="66" fillId="0" borderId="48" xfId="0" applyNumberFormat="1" applyFont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6" fillId="0" borderId="73" xfId="0" applyFont="1" applyBorder="1" applyAlignment="1">
      <alignment horizontal="center" vertical="center" wrapText="1"/>
    </xf>
    <xf numFmtId="4" fontId="66" fillId="0" borderId="21" xfId="0" applyNumberFormat="1" applyFont="1" applyFill="1" applyBorder="1" applyAlignment="1">
      <alignment horizontal="center" vertical="center"/>
    </xf>
    <xf numFmtId="0" fontId="66" fillId="0" borderId="23" xfId="0" applyFont="1" applyBorder="1" applyAlignment="1">
      <alignment horizontal="center" vertical="center" wrapText="1"/>
    </xf>
    <xf numFmtId="0" fontId="69" fillId="39" borderId="74" xfId="0" applyFont="1" applyFill="1" applyBorder="1" applyAlignment="1">
      <alignment vertical="center"/>
    </xf>
    <xf numFmtId="181" fontId="69" fillId="39" borderId="74" xfId="0" applyNumberFormat="1" applyFont="1" applyFill="1" applyBorder="1" applyAlignment="1">
      <alignment vertical="center"/>
    </xf>
    <xf numFmtId="170" fontId="69" fillId="39" borderId="74" xfId="0" applyNumberFormat="1" applyFont="1" applyFill="1" applyBorder="1" applyAlignment="1">
      <alignment vertical="center"/>
    </xf>
    <xf numFmtId="2" fontId="69" fillId="39" borderId="74" xfId="0" applyNumberFormat="1" applyFont="1" applyFill="1" applyBorder="1" applyAlignment="1">
      <alignment vertical="center"/>
    </xf>
    <xf numFmtId="172" fontId="69" fillId="39" borderId="74" xfId="0" applyNumberFormat="1" applyFont="1" applyFill="1" applyBorder="1" applyAlignment="1">
      <alignment vertical="center"/>
    </xf>
    <xf numFmtId="168" fontId="69" fillId="39" borderId="74" xfId="0" applyNumberFormat="1" applyFont="1" applyFill="1" applyBorder="1" applyAlignment="1">
      <alignment vertical="center"/>
    </xf>
    <xf numFmtId="168" fontId="69" fillId="39" borderId="75" xfId="0" applyNumberFormat="1" applyFont="1" applyFill="1" applyBorder="1" applyAlignment="1">
      <alignment vertical="center"/>
    </xf>
    <xf numFmtId="167" fontId="66" fillId="2" borderId="50" xfId="0" applyNumberFormat="1" applyFont="1" applyFill="1" applyBorder="1" applyAlignment="1">
      <alignment horizontal="center" vertical="center" wrapText="1"/>
    </xf>
    <xf numFmtId="172" fontId="66" fillId="0" borderId="76" xfId="0" applyNumberFormat="1" applyFont="1" applyBorder="1" applyAlignment="1">
      <alignment horizontal="center" vertical="center" wrapText="1"/>
    </xf>
    <xf numFmtId="172" fontId="66" fillId="0" borderId="77" xfId="0" applyNumberFormat="1" applyFont="1" applyBorder="1" applyAlignment="1">
      <alignment horizontal="center" vertical="center" wrapText="1"/>
    </xf>
    <xf numFmtId="168" fontId="66" fillId="39" borderId="78" xfId="0" applyNumberFormat="1" applyFont="1" applyFill="1" applyBorder="1" applyAlignment="1">
      <alignment horizontal="center" vertical="center" wrapText="1"/>
    </xf>
    <xf numFmtId="172" fontId="66" fillId="0" borderId="79" xfId="0" applyNumberFormat="1" applyFont="1" applyBorder="1" applyAlignment="1">
      <alignment horizontal="center" vertical="center" wrapText="1"/>
    </xf>
    <xf numFmtId="172" fontId="66" fillId="0" borderId="80" xfId="0" applyNumberFormat="1" applyFont="1" applyBorder="1" applyAlignment="1">
      <alignment horizontal="center" vertical="center" wrapText="1"/>
    </xf>
    <xf numFmtId="4" fontId="66" fillId="0" borderId="79" xfId="0" applyNumberFormat="1" applyFont="1" applyBorder="1" applyAlignment="1">
      <alignment horizontal="center" vertical="center" wrapText="1"/>
    </xf>
    <xf numFmtId="4" fontId="66" fillId="0" borderId="76" xfId="0" applyNumberFormat="1" applyFont="1" applyBorder="1" applyAlignment="1">
      <alignment horizontal="center" vertical="center" wrapText="1"/>
    </xf>
    <xf numFmtId="4" fontId="66" fillId="0" borderId="80" xfId="0" applyNumberFormat="1" applyFont="1" applyBorder="1" applyAlignment="1">
      <alignment horizontal="center" vertical="center" wrapText="1"/>
    </xf>
    <xf numFmtId="172" fontId="66" fillId="39" borderId="58" xfId="0" applyNumberFormat="1" applyFont="1" applyFill="1" applyBorder="1" applyAlignment="1">
      <alignment horizontal="center" vertical="center" wrapText="1"/>
    </xf>
    <xf numFmtId="168" fontId="66" fillId="39" borderId="24" xfId="0" applyNumberFormat="1" applyFont="1" applyFill="1" applyBorder="1" applyAlignment="1">
      <alignment horizontal="center" vertical="center" wrapText="1"/>
    </xf>
    <xf numFmtId="4" fontId="66" fillId="0" borderId="64" xfId="0" applyNumberFormat="1" applyFont="1" applyBorder="1" applyAlignment="1">
      <alignment horizontal="center" vertical="center" wrapText="1"/>
    </xf>
    <xf numFmtId="181" fontId="66" fillId="39" borderId="58" xfId="0" applyNumberFormat="1" applyFont="1" applyFill="1" applyBorder="1" applyAlignment="1">
      <alignment horizontal="center" vertical="center" wrapText="1"/>
    </xf>
    <xf numFmtId="172" fontId="66" fillId="0" borderId="81" xfId="0" applyNumberFormat="1" applyFont="1" applyBorder="1" applyAlignment="1">
      <alignment horizontal="center" vertical="center" wrapText="1"/>
    </xf>
    <xf numFmtId="172" fontId="66" fillId="0" borderId="82" xfId="0" applyNumberFormat="1" applyFont="1" applyBorder="1" applyAlignment="1">
      <alignment horizontal="center" vertical="center" wrapText="1"/>
    </xf>
    <xf numFmtId="172" fontId="66" fillId="0" borderId="83" xfId="0" applyNumberFormat="1" applyFont="1" applyBorder="1" applyAlignment="1">
      <alignment horizontal="center" vertical="center" wrapText="1"/>
    </xf>
    <xf numFmtId="172" fontId="66" fillId="0" borderId="61" xfId="0" applyNumberFormat="1" applyFont="1" applyBorder="1" applyAlignment="1">
      <alignment horizontal="center" vertical="center" wrapText="1"/>
    </xf>
    <xf numFmtId="181" fontId="66" fillId="39" borderId="84" xfId="0" applyNumberFormat="1" applyFont="1" applyFill="1" applyBorder="1" applyAlignment="1">
      <alignment horizontal="center" vertical="center" wrapText="1"/>
    </xf>
    <xf numFmtId="168" fontId="66" fillId="0" borderId="78" xfId="0" applyNumberFormat="1" applyFont="1" applyBorder="1" applyAlignment="1">
      <alignment horizontal="center" vertical="center" wrapText="1"/>
    </xf>
    <xf numFmtId="0" fontId="69" fillId="38" borderId="55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10" fontId="8" fillId="39" borderId="84" xfId="72" applyNumberFormat="1" applyFont="1" applyFill="1" applyBorder="1" applyAlignment="1">
      <alignment horizontal="center" vertical="center"/>
    </xf>
    <xf numFmtId="168" fontId="66" fillId="0" borderId="4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0" fillId="0" borderId="85" xfId="0" applyNumberFormat="1" applyFont="1" applyBorder="1" applyAlignment="1">
      <alignment horizontal="center" vertical="center"/>
    </xf>
    <xf numFmtId="10" fontId="8" fillId="39" borderId="46" xfId="72" applyNumberFormat="1" applyFont="1" applyFill="1" applyBorder="1" applyAlignment="1">
      <alignment horizontal="center" vertical="center"/>
    </xf>
    <xf numFmtId="172" fontId="66" fillId="0" borderId="78" xfId="0" applyNumberFormat="1" applyFont="1" applyBorder="1" applyAlignment="1">
      <alignment horizontal="center" vertical="center" wrapText="1"/>
    </xf>
    <xf numFmtId="181" fontId="66" fillId="0" borderId="70" xfId="0" applyNumberFormat="1" applyFont="1" applyBorder="1" applyAlignment="1">
      <alignment horizontal="center" vertical="center" wrapText="1"/>
    </xf>
    <xf numFmtId="4" fontId="66" fillId="0" borderId="50" xfId="0" applyNumberFormat="1" applyFont="1" applyBorder="1" applyAlignment="1">
      <alignment vertical="center" wrapText="1"/>
    </xf>
    <xf numFmtId="2" fontId="66" fillId="0" borderId="55" xfId="0" applyNumberFormat="1" applyFont="1" applyBorder="1" applyAlignment="1">
      <alignment horizontal="center" vertical="center" wrapText="1"/>
    </xf>
    <xf numFmtId="4" fontId="66" fillId="0" borderId="54" xfId="0" applyNumberFormat="1" applyFont="1" applyBorder="1" applyAlignment="1">
      <alignment vertical="center" wrapText="1"/>
    </xf>
    <xf numFmtId="4" fontId="66" fillId="0" borderId="49" xfId="0" applyNumberFormat="1" applyFont="1" applyBorder="1" applyAlignment="1">
      <alignment vertical="center" wrapText="1"/>
    </xf>
    <xf numFmtId="0" fontId="65" fillId="0" borderId="86" xfId="0" applyFont="1" applyFill="1" applyBorder="1" applyAlignment="1">
      <alignment horizontal="center"/>
    </xf>
    <xf numFmtId="0" fontId="65" fillId="0" borderId="57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4" fontId="5" fillId="0" borderId="17" xfId="64" applyNumberFormat="1" applyFont="1" applyBorder="1" applyAlignment="1">
      <alignment horizontal="center" vertical="center" wrapText="1"/>
      <protection/>
    </xf>
    <xf numFmtId="0" fontId="69" fillId="0" borderId="50" xfId="0" applyFont="1" applyBorder="1" applyAlignment="1">
      <alignment horizontal="right" vertical="center" wrapText="1"/>
    </xf>
    <xf numFmtId="170" fontId="66" fillId="0" borderId="87" xfId="0" applyNumberFormat="1" applyFont="1" applyBorder="1" applyAlignment="1">
      <alignment horizontal="center" vertical="center" wrapText="1"/>
    </xf>
    <xf numFmtId="0" fontId="69" fillId="0" borderId="54" xfId="0" applyFont="1" applyBorder="1" applyAlignment="1">
      <alignment horizontal="right" vertical="center" wrapText="1"/>
    </xf>
    <xf numFmtId="172" fontId="66" fillId="0" borderId="24" xfId="0" applyNumberFormat="1" applyFont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/>
    </xf>
    <xf numFmtId="167" fontId="66" fillId="2" borderId="49" xfId="0" applyNumberFormat="1" applyFont="1" applyFill="1" applyBorder="1" applyAlignment="1">
      <alignment horizontal="center" vertical="center" wrapText="1"/>
    </xf>
    <xf numFmtId="172" fontId="66" fillId="0" borderId="68" xfId="0" applyNumberFormat="1" applyFont="1" applyBorder="1" applyAlignment="1">
      <alignment horizontal="center" vertical="center" wrapText="1"/>
    </xf>
    <xf numFmtId="172" fontId="66" fillId="0" borderId="38" xfId="0" applyNumberFormat="1" applyFont="1" applyBorder="1" applyAlignment="1">
      <alignment horizontal="center" vertical="center" wrapText="1"/>
    </xf>
    <xf numFmtId="170" fontId="66" fillId="0" borderId="54" xfId="0" applyNumberFormat="1" applyFont="1" applyBorder="1" applyAlignment="1">
      <alignment horizontal="center" vertical="center" wrapText="1"/>
    </xf>
    <xf numFmtId="170" fontId="66" fillId="0" borderId="55" xfId="0" applyNumberFormat="1" applyFont="1" applyBorder="1" applyAlignment="1">
      <alignment horizontal="center" vertical="center" wrapText="1"/>
    </xf>
    <xf numFmtId="168" fontId="66" fillId="39" borderId="19" xfId="0" applyNumberFormat="1" applyFont="1" applyFill="1" applyBorder="1" applyAlignment="1">
      <alignment horizontal="center" vertical="center" wrapText="1"/>
    </xf>
    <xf numFmtId="168" fontId="66" fillId="39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7" fillId="38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5" fillId="0" borderId="57" xfId="0" applyFont="1" applyFill="1" applyBorder="1" applyAlignment="1">
      <alignment horizontal="center"/>
    </xf>
    <xf numFmtId="0" fontId="71" fillId="41" borderId="0" xfId="0" applyFont="1" applyFill="1" applyAlignment="1">
      <alignment vertical="center"/>
    </xf>
    <xf numFmtId="0" fontId="70" fillId="41" borderId="0" xfId="0" applyFont="1" applyFill="1" applyAlignment="1">
      <alignment vertical="center"/>
    </xf>
    <xf numFmtId="0" fontId="72" fillId="42" borderId="88" xfId="0" applyFont="1" applyFill="1" applyBorder="1" applyAlignment="1">
      <alignment horizontal="center" vertical="center"/>
    </xf>
    <xf numFmtId="0" fontId="72" fillId="42" borderId="89" xfId="0" applyFont="1" applyFill="1" applyBorder="1" applyAlignment="1">
      <alignment horizontal="center" vertical="center"/>
    </xf>
    <xf numFmtId="2" fontId="72" fillId="42" borderId="89" xfId="0" applyNumberFormat="1" applyFont="1" applyFill="1" applyBorder="1" applyAlignment="1">
      <alignment horizontal="left" vertical="center"/>
    </xf>
    <xf numFmtId="0" fontId="72" fillId="42" borderId="90" xfId="0" applyFont="1" applyFill="1" applyBorder="1" applyAlignment="1">
      <alignment horizontal="center" vertical="center"/>
    </xf>
    <xf numFmtId="185" fontId="72" fillId="42" borderId="89" xfId="0" applyNumberFormat="1" applyFont="1" applyFill="1" applyBorder="1" applyAlignment="1">
      <alignment horizontal="center" vertical="center" wrapText="1"/>
    </xf>
    <xf numFmtId="185" fontId="72" fillId="42" borderId="90" xfId="0" applyNumberFormat="1" applyFont="1" applyFill="1" applyBorder="1" applyAlignment="1">
      <alignment horizontal="center" vertical="center" wrapText="1"/>
    </xf>
    <xf numFmtId="185" fontId="72" fillId="42" borderId="91" xfId="0" applyNumberFormat="1" applyFont="1" applyFill="1" applyBorder="1" applyAlignment="1">
      <alignment horizontal="center" vertical="center" wrapText="1"/>
    </xf>
    <xf numFmtId="166" fontId="68" fillId="41" borderId="0" xfId="0" applyNumberFormat="1" applyFont="1" applyFill="1" applyAlignment="1">
      <alignment vertical="center"/>
    </xf>
    <xf numFmtId="0" fontId="73" fillId="41" borderId="0" xfId="0" applyFont="1" applyFill="1" applyAlignment="1">
      <alignment vertical="center"/>
    </xf>
    <xf numFmtId="4" fontId="68" fillId="41" borderId="92" xfId="0" applyNumberFormat="1" applyFont="1" applyFill="1" applyBorder="1" applyAlignment="1">
      <alignment vertical="center" wrapText="1"/>
    </xf>
    <xf numFmtId="4" fontId="68" fillId="41" borderId="93" xfId="0" applyNumberFormat="1" applyFont="1" applyFill="1" applyBorder="1" applyAlignment="1">
      <alignment vertical="center" wrapText="1"/>
    </xf>
    <xf numFmtId="0" fontId="74" fillId="41" borderId="93" xfId="0" applyFont="1" applyFill="1" applyBorder="1" applyAlignment="1">
      <alignment horizontal="center" vertical="center"/>
    </xf>
    <xf numFmtId="0" fontId="74" fillId="41" borderId="94" xfId="0" applyFont="1" applyFill="1" applyBorder="1" applyAlignment="1">
      <alignment horizontal="center" vertical="center"/>
    </xf>
    <xf numFmtId="0" fontId="74" fillId="41" borderId="95" xfId="0" applyFont="1" applyFill="1" applyBorder="1" applyAlignment="1">
      <alignment horizontal="center" vertical="center"/>
    </xf>
    <xf numFmtId="0" fontId="74" fillId="41" borderId="96" xfId="0" applyFont="1" applyFill="1" applyBorder="1" applyAlignment="1">
      <alignment horizontal="center" vertical="center"/>
    </xf>
    <xf numFmtId="185" fontId="74" fillId="41" borderId="94" xfId="0" applyNumberFormat="1" applyFont="1" applyFill="1" applyBorder="1" applyAlignment="1">
      <alignment horizontal="center" vertical="center" wrapText="1"/>
    </xf>
    <xf numFmtId="185" fontId="74" fillId="41" borderId="96" xfId="0" applyNumberFormat="1" applyFont="1" applyFill="1" applyBorder="1" applyAlignment="1">
      <alignment horizontal="center" vertical="center" wrapText="1"/>
    </xf>
    <xf numFmtId="185" fontId="74" fillId="41" borderId="95" xfId="0" applyNumberFormat="1" applyFont="1" applyFill="1" applyBorder="1" applyAlignment="1">
      <alignment horizontal="center" vertical="center" wrapText="1"/>
    </xf>
    <xf numFmtId="185" fontId="75" fillId="41" borderId="96" xfId="0" applyNumberFormat="1" applyFont="1" applyFill="1" applyBorder="1" applyAlignment="1">
      <alignment horizontal="center" vertical="center" wrapText="1"/>
    </xf>
    <xf numFmtId="0" fontId="74" fillId="41" borderId="0" xfId="0" applyFont="1" applyFill="1" applyBorder="1" applyAlignment="1">
      <alignment horizontal="center" vertical="center"/>
    </xf>
    <xf numFmtId="185" fontId="74" fillId="41" borderId="0" xfId="0" applyNumberFormat="1" applyFont="1" applyFill="1" applyBorder="1" applyAlignment="1">
      <alignment horizontal="center" vertical="center" wrapText="1"/>
    </xf>
    <xf numFmtId="4" fontId="76" fillId="42" borderId="97" xfId="0" applyNumberFormat="1" applyFont="1" applyFill="1" applyBorder="1" applyAlignment="1">
      <alignment horizontal="left" vertical="center"/>
    </xf>
    <xf numFmtId="9" fontId="74" fillId="41" borderId="98" xfId="72" applyFont="1" applyFill="1" applyBorder="1" applyAlignment="1">
      <alignment horizontal="center" vertical="center" wrapText="1"/>
    </xf>
    <xf numFmtId="0" fontId="68" fillId="41" borderId="92" xfId="0" applyFont="1" applyFill="1" applyBorder="1" applyAlignment="1">
      <alignment vertical="center"/>
    </xf>
    <xf numFmtId="4" fontId="68" fillId="41" borderId="93" xfId="0" applyNumberFormat="1" applyFont="1" applyFill="1" applyBorder="1" applyAlignment="1">
      <alignment vertical="center"/>
    </xf>
    <xf numFmtId="186" fontId="74" fillId="41" borderId="98" xfId="0" applyNumberFormat="1" applyFont="1" applyFill="1" applyBorder="1" applyAlignment="1">
      <alignment horizontal="center" vertical="center" wrapText="1"/>
    </xf>
    <xf numFmtId="188" fontId="74" fillId="41" borderId="98" xfId="0" applyNumberFormat="1" applyFont="1" applyFill="1" applyBorder="1" applyAlignment="1">
      <alignment horizontal="center" vertical="center" wrapText="1"/>
    </xf>
    <xf numFmtId="4" fontId="68" fillId="41" borderId="92" xfId="0" applyNumberFormat="1" applyFont="1" applyFill="1" applyBorder="1" applyAlignment="1">
      <alignment vertical="center"/>
    </xf>
    <xf numFmtId="4" fontId="70" fillId="41" borderId="92" xfId="0" applyNumberFormat="1" applyFont="1" applyFill="1" applyBorder="1" applyAlignment="1">
      <alignment vertical="center"/>
    </xf>
    <xf numFmtId="0" fontId="6" fillId="0" borderId="73" xfId="64" applyFont="1" applyBorder="1" applyAlignment="1">
      <alignment horizontal="center" vertical="center" wrapText="1"/>
      <protection/>
    </xf>
    <xf numFmtId="0" fontId="5" fillId="36" borderId="19" xfId="64" applyFont="1" applyFill="1" applyBorder="1" applyAlignment="1">
      <alignment horizontal="center" vertical="center" wrapText="1"/>
      <protection/>
    </xf>
    <xf numFmtId="0" fontId="5" fillId="36" borderId="22" xfId="64" applyFont="1" applyFill="1" applyBorder="1" applyAlignment="1">
      <alignment horizontal="center" vertical="center" wrapText="1"/>
      <protection/>
    </xf>
    <xf numFmtId="0" fontId="5" fillId="36" borderId="17" xfId="64" applyFont="1" applyFill="1" applyBorder="1" applyAlignment="1">
      <alignment horizontal="center" vertical="center" wrapText="1"/>
      <protection/>
    </xf>
    <xf numFmtId="10" fontId="66" fillId="0" borderId="99" xfId="0" applyNumberFormat="1" applyFont="1" applyBorder="1" applyAlignment="1">
      <alignment horizontal="center" vertical="center" wrapText="1"/>
    </xf>
    <xf numFmtId="10" fontId="66" fillId="0" borderId="100" xfId="0" applyNumberFormat="1" applyFont="1" applyBorder="1" applyAlignment="1">
      <alignment horizontal="center" vertical="center" wrapText="1"/>
    </xf>
    <xf numFmtId="4" fontId="6" fillId="0" borderId="20" xfId="58" applyNumberFormat="1" applyFont="1" applyBorder="1" applyAlignment="1">
      <alignment horizontal="center" vertical="center" wrapText="1"/>
      <protection/>
    </xf>
    <xf numFmtId="0" fontId="70" fillId="10" borderId="57" xfId="0" applyFont="1" applyFill="1" applyBorder="1" applyAlignment="1">
      <alignment horizontal="center" vertical="center"/>
    </xf>
    <xf numFmtId="0" fontId="70" fillId="10" borderId="44" xfId="0" applyFont="1" applyFill="1" applyBorder="1" applyAlignment="1">
      <alignment horizontal="center" vertical="center"/>
    </xf>
    <xf numFmtId="4" fontId="6" fillId="0" borderId="20" xfId="58" applyNumberFormat="1" applyFont="1" applyBorder="1" applyAlignment="1">
      <alignment horizontal="left" vertical="center" wrapText="1"/>
      <protection/>
    </xf>
    <xf numFmtId="4" fontId="66" fillId="0" borderId="101" xfId="0" applyNumberFormat="1" applyFont="1" applyBorder="1" applyAlignment="1">
      <alignment horizontal="center" vertical="center"/>
    </xf>
    <xf numFmtId="0" fontId="74" fillId="41" borderId="102" xfId="0" applyFont="1" applyFill="1" applyBorder="1" applyAlignment="1">
      <alignment horizontal="center" vertical="center"/>
    </xf>
    <xf numFmtId="185" fontId="74" fillId="41" borderId="102" xfId="0" applyNumberFormat="1" applyFont="1" applyFill="1" applyBorder="1" applyAlignment="1">
      <alignment horizontal="center" vertical="center" wrapText="1"/>
    </xf>
    <xf numFmtId="185" fontId="74" fillId="41" borderId="98" xfId="0" applyNumberFormat="1" applyFont="1" applyFill="1" applyBorder="1" applyAlignment="1">
      <alignment horizontal="center" vertical="center" wrapText="1"/>
    </xf>
    <xf numFmtId="4" fontId="70" fillId="41" borderId="92" xfId="0" applyNumberFormat="1" applyFont="1" applyFill="1" applyBorder="1" applyAlignment="1" quotePrefix="1">
      <alignment horizontal="right" vertical="center" wrapText="1"/>
    </xf>
    <xf numFmtId="0" fontId="74" fillId="41" borderId="98" xfId="0" applyFont="1" applyFill="1" applyBorder="1" applyAlignment="1">
      <alignment horizontal="center" vertical="center"/>
    </xf>
    <xf numFmtId="4" fontId="66" fillId="0" borderId="70" xfId="0" applyNumberFormat="1" applyFont="1" applyBorder="1" applyAlignment="1">
      <alignment horizontal="center" vertical="center" wrapText="1"/>
    </xf>
    <xf numFmtId="4" fontId="66" fillId="0" borderId="36" xfId="0" applyNumberFormat="1" applyFont="1" applyBorder="1" applyAlignment="1">
      <alignment horizontal="center" vertical="center" wrapText="1"/>
    </xf>
    <xf numFmtId="4" fontId="66" fillId="0" borderId="71" xfId="0" applyNumberFormat="1" applyFont="1" applyBorder="1" applyAlignment="1">
      <alignment horizontal="center" vertical="center" wrapText="1"/>
    </xf>
    <xf numFmtId="178" fontId="66" fillId="0" borderId="54" xfId="0" applyNumberFormat="1" applyFont="1" applyBorder="1" applyAlignment="1">
      <alignment horizontal="center" vertical="center" wrapText="1"/>
    </xf>
    <xf numFmtId="2" fontId="66" fillId="2" borderId="54" xfId="0" applyNumberFormat="1" applyFont="1" applyFill="1" applyBorder="1" applyAlignment="1">
      <alignment horizontal="center" vertical="center" wrapText="1"/>
    </xf>
    <xf numFmtId="172" fontId="66" fillId="0" borderId="52" xfId="0" applyNumberFormat="1" applyFont="1" applyBorder="1" applyAlignment="1">
      <alignment horizontal="center" vertical="center" wrapText="1"/>
    </xf>
    <xf numFmtId="172" fontId="66" fillId="0" borderId="35" xfId="0" applyNumberFormat="1" applyFont="1" applyBorder="1" applyAlignment="1">
      <alignment horizontal="center" vertical="center" wrapText="1"/>
    </xf>
    <xf numFmtId="2" fontId="66" fillId="0" borderId="54" xfId="0" applyNumberFormat="1" applyFont="1" applyFill="1" applyBorder="1" applyAlignment="1">
      <alignment horizontal="center" vertical="center" wrapText="1"/>
    </xf>
    <xf numFmtId="167" fontId="66" fillId="2" borderId="54" xfId="0" applyNumberFormat="1" applyFont="1" applyFill="1" applyBorder="1" applyAlignment="1">
      <alignment horizontal="center" vertical="center" wrapText="1"/>
    </xf>
    <xf numFmtId="2" fontId="66" fillId="0" borderId="55" xfId="0" applyNumberFormat="1" applyFont="1" applyFill="1" applyBorder="1" applyAlignment="1">
      <alignment horizontal="center" vertical="center" wrapText="1"/>
    </xf>
    <xf numFmtId="167" fontId="66" fillId="2" borderId="55" xfId="0" applyNumberFormat="1" applyFont="1" applyFill="1" applyBorder="1" applyAlignment="1">
      <alignment horizontal="center" vertical="center" wrapText="1"/>
    </xf>
    <xf numFmtId="181" fontId="66" fillId="0" borderId="51" xfId="0" applyNumberFormat="1" applyFont="1" applyBorder="1" applyAlignment="1">
      <alignment horizontal="center" vertical="center" wrapText="1"/>
    </xf>
    <xf numFmtId="181" fontId="66" fillId="0" borderId="0" xfId="0" applyNumberFormat="1" applyFont="1" applyBorder="1" applyAlignment="1">
      <alignment horizontal="center" vertical="center" wrapText="1"/>
    </xf>
    <xf numFmtId="172" fontId="66" fillId="0" borderId="75" xfId="0" applyNumberFormat="1" applyFont="1" applyBorder="1" applyAlignment="1">
      <alignment horizontal="center" vertical="center" wrapText="1"/>
    </xf>
    <xf numFmtId="4" fontId="70" fillId="41" borderId="92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5" fillId="0" borderId="10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5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06" xfId="0" applyFont="1" applyFill="1" applyBorder="1" applyAlignment="1">
      <alignment vertical="center"/>
    </xf>
    <xf numFmtId="10" fontId="6" fillId="0" borderId="107" xfId="72" applyNumberFormat="1" applyFont="1" applyFill="1" applyBorder="1" applyAlignment="1">
      <alignment horizontal="left" vertical="center"/>
    </xf>
    <xf numFmtId="2" fontId="66" fillId="38" borderId="43" xfId="0" applyNumberFormat="1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vertical="center"/>
    </xf>
    <xf numFmtId="170" fontId="66" fillId="0" borderId="57" xfId="0" applyNumberFormat="1" applyFont="1" applyBorder="1" applyAlignment="1">
      <alignment horizontal="center" vertical="center" wrapText="1"/>
    </xf>
    <xf numFmtId="2" fontId="66" fillId="0" borderId="19" xfId="0" applyNumberFormat="1" applyFont="1" applyBorder="1" applyAlignment="1">
      <alignment horizontal="center" vertical="center" wrapText="1"/>
    </xf>
    <xf numFmtId="172" fontId="66" fillId="0" borderId="19" xfId="0" applyNumberFormat="1" applyFont="1" applyBorder="1" applyAlignment="1">
      <alignment horizontal="center" vertical="center" wrapText="1"/>
    </xf>
    <xf numFmtId="172" fontId="66" fillId="0" borderId="17" xfId="0" applyNumberFormat="1" applyFont="1" applyBorder="1" applyAlignment="1">
      <alignment horizontal="center" vertical="center" wrapText="1"/>
    </xf>
    <xf numFmtId="0" fontId="69" fillId="0" borderId="50" xfId="0" applyFont="1" applyBorder="1" applyAlignment="1">
      <alignment horizontal="center" vertical="center" wrapText="1"/>
    </xf>
    <xf numFmtId="0" fontId="74" fillId="41" borderId="92" xfId="0" applyFont="1" applyFill="1" applyBorder="1" applyAlignment="1">
      <alignment horizontal="center" vertical="center"/>
    </xf>
    <xf numFmtId="4" fontId="76" fillId="42" borderId="108" xfId="0" applyNumberFormat="1" applyFont="1" applyFill="1" applyBorder="1" applyAlignment="1">
      <alignment horizontal="center" vertical="center"/>
    </xf>
    <xf numFmtId="0" fontId="68" fillId="41" borderId="109" xfId="0" applyFont="1" applyFill="1" applyBorder="1" applyAlignment="1">
      <alignment horizontal="center" vertical="center"/>
    </xf>
    <xf numFmtId="0" fontId="68" fillId="41" borderId="110" xfId="0" applyFont="1" applyFill="1" applyBorder="1" applyAlignment="1">
      <alignment horizontal="center" vertical="center"/>
    </xf>
    <xf numFmtId="4" fontId="68" fillId="41" borderId="109" xfId="0" applyNumberFormat="1" applyFont="1" applyFill="1" applyBorder="1" applyAlignment="1">
      <alignment horizontal="center" vertical="center"/>
    </xf>
    <xf numFmtId="0" fontId="68" fillId="41" borderId="111" xfId="0" applyFont="1" applyFill="1" applyBorder="1" applyAlignment="1">
      <alignment horizontal="center" vertical="center"/>
    </xf>
    <xf numFmtId="4" fontId="68" fillId="41" borderId="112" xfId="0" applyNumberFormat="1" applyFont="1" applyFill="1" applyBorder="1" applyAlignment="1">
      <alignment vertical="center" wrapText="1"/>
    </xf>
    <xf numFmtId="0" fontId="74" fillId="41" borderId="112" xfId="0" applyFont="1" applyFill="1" applyBorder="1" applyAlignment="1">
      <alignment horizontal="center" vertical="center"/>
    </xf>
    <xf numFmtId="0" fontId="74" fillId="41" borderId="113" xfId="0" applyFont="1" applyFill="1" applyBorder="1" applyAlignment="1">
      <alignment horizontal="center" vertical="center"/>
    </xf>
    <xf numFmtId="0" fontId="74" fillId="41" borderId="114" xfId="0" applyFont="1" applyFill="1" applyBorder="1" applyAlignment="1">
      <alignment horizontal="center" vertical="center"/>
    </xf>
    <xf numFmtId="0" fontId="74" fillId="41" borderId="115" xfId="0" applyFont="1" applyFill="1" applyBorder="1" applyAlignment="1">
      <alignment horizontal="center" vertical="center"/>
    </xf>
    <xf numFmtId="185" fontId="74" fillId="41" borderId="113" xfId="0" applyNumberFormat="1" applyFont="1" applyFill="1" applyBorder="1" applyAlignment="1">
      <alignment horizontal="center" vertical="center" wrapText="1"/>
    </xf>
    <xf numFmtId="185" fontId="74" fillId="41" borderId="115" xfId="0" applyNumberFormat="1" applyFont="1" applyFill="1" applyBorder="1" applyAlignment="1">
      <alignment horizontal="center" vertical="center" wrapText="1"/>
    </xf>
    <xf numFmtId="185" fontId="74" fillId="41" borderId="114" xfId="0" applyNumberFormat="1" applyFont="1" applyFill="1" applyBorder="1" applyAlignment="1">
      <alignment horizontal="center" vertical="center" wrapText="1"/>
    </xf>
    <xf numFmtId="185" fontId="75" fillId="41" borderId="115" xfId="0" applyNumberFormat="1" applyFont="1" applyFill="1" applyBorder="1" applyAlignment="1">
      <alignment horizontal="center" vertical="center" wrapText="1"/>
    </xf>
    <xf numFmtId="4" fontId="68" fillId="41" borderId="112" xfId="0" applyNumberFormat="1" applyFont="1" applyFill="1" applyBorder="1" applyAlignment="1">
      <alignment vertical="center"/>
    </xf>
    <xf numFmtId="0" fontId="69" fillId="38" borderId="46" xfId="0" applyFont="1" applyFill="1" applyBorder="1" applyAlignment="1">
      <alignment horizontal="right" vertical="center"/>
    </xf>
    <xf numFmtId="0" fontId="69" fillId="38" borderId="55" xfId="0" applyFont="1" applyFill="1" applyBorder="1" applyAlignment="1">
      <alignment horizontal="center" vertical="center"/>
    </xf>
    <xf numFmtId="0" fontId="5" fillId="38" borderId="19" xfId="57" applyFont="1" applyFill="1" applyBorder="1" applyAlignment="1">
      <alignment horizontal="center" vertical="center"/>
      <protection/>
    </xf>
    <xf numFmtId="0" fontId="69" fillId="38" borderId="19" xfId="0" applyFont="1" applyFill="1" applyBorder="1" applyAlignment="1">
      <alignment horizontal="center" vertical="center"/>
    </xf>
    <xf numFmtId="0" fontId="69" fillId="38" borderId="32" xfId="0" applyFont="1" applyFill="1" applyBorder="1" applyAlignment="1">
      <alignment horizontal="center" vertical="center"/>
    </xf>
    <xf numFmtId="2" fontId="66" fillId="38" borderId="42" xfId="0" applyNumberFormat="1" applyFont="1" applyFill="1" applyBorder="1" applyAlignment="1">
      <alignment horizontal="center" vertical="center"/>
    </xf>
    <xf numFmtId="0" fontId="69" fillId="0" borderId="46" xfId="0" applyFont="1" applyBorder="1" applyAlignment="1">
      <alignment horizontal="right" vertical="center"/>
    </xf>
    <xf numFmtId="2" fontId="66" fillId="38" borderId="16" xfId="0" applyNumberFormat="1" applyFont="1" applyFill="1" applyBorder="1" applyAlignment="1">
      <alignment horizontal="center" vertical="center"/>
    </xf>
    <xf numFmtId="179" fontId="66" fillId="38" borderId="59" xfId="0" applyNumberFormat="1" applyFont="1" applyFill="1" applyBorder="1" applyAlignment="1">
      <alignment horizontal="center" vertical="center"/>
    </xf>
    <xf numFmtId="0" fontId="5" fillId="0" borderId="19" xfId="64" applyFont="1" applyBorder="1" applyAlignment="1">
      <alignment horizontal="center" vertical="center" wrapText="1"/>
      <protection/>
    </xf>
    <xf numFmtId="185" fontId="0" fillId="0" borderId="0" xfId="0" applyNumberFormat="1" applyAlignment="1">
      <alignment/>
    </xf>
    <xf numFmtId="185" fontId="77" fillId="42" borderId="116" xfId="0" applyNumberFormat="1" applyFont="1" applyFill="1" applyBorder="1" applyAlignment="1">
      <alignment horizontal="center" vertical="center" wrapText="1"/>
    </xf>
    <xf numFmtId="185" fontId="77" fillId="42" borderId="117" xfId="0" applyNumberFormat="1" applyFont="1" applyFill="1" applyBorder="1" applyAlignment="1">
      <alignment horizontal="center" vertical="center" wrapText="1"/>
    </xf>
    <xf numFmtId="185" fontId="77" fillId="42" borderId="118" xfId="0" applyNumberFormat="1" applyFont="1" applyFill="1" applyBorder="1" applyAlignment="1">
      <alignment horizontal="center" vertical="center" wrapText="1"/>
    </xf>
    <xf numFmtId="0" fontId="78" fillId="0" borderId="92" xfId="0" applyFont="1" applyBorder="1" applyAlignment="1">
      <alignment/>
    </xf>
    <xf numFmtId="0" fontId="74" fillId="41" borderId="92" xfId="0" applyFont="1" applyFill="1" applyBorder="1" applyAlignment="1">
      <alignment horizontal="center" vertical="center"/>
    </xf>
    <xf numFmtId="0" fontId="74" fillId="41" borderId="92" xfId="0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74" fillId="41" borderId="0" xfId="0" applyFont="1" applyFill="1" applyBorder="1" applyAlignment="1">
      <alignment horizontal="center" vertical="center"/>
    </xf>
    <xf numFmtId="0" fontId="74" fillId="41" borderId="98" xfId="0" applyFont="1" applyFill="1" applyBorder="1" applyAlignment="1">
      <alignment horizontal="center" vertical="center"/>
    </xf>
    <xf numFmtId="0" fontId="68" fillId="41" borderId="119" xfId="0" applyFont="1" applyFill="1" applyBorder="1" applyAlignment="1">
      <alignment horizontal="center" vertical="center"/>
    </xf>
    <xf numFmtId="4" fontId="68" fillId="41" borderId="120" xfId="0" applyNumberFormat="1" applyFont="1" applyFill="1" applyBorder="1" applyAlignment="1">
      <alignment vertical="center" wrapText="1"/>
    </xf>
    <xf numFmtId="0" fontId="74" fillId="41" borderId="120" xfId="0" applyFont="1" applyFill="1" applyBorder="1" applyAlignment="1">
      <alignment horizontal="center" vertical="center"/>
    </xf>
    <xf numFmtId="0" fontId="74" fillId="41" borderId="121" xfId="0" applyFont="1" applyFill="1" applyBorder="1" applyAlignment="1">
      <alignment horizontal="center" vertical="center"/>
    </xf>
    <xf numFmtId="0" fontId="74" fillId="41" borderId="122" xfId="0" applyFont="1" applyFill="1" applyBorder="1" applyAlignment="1">
      <alignment horizontal="center" vertical="center"/>
    </xf>
    <xf numFmtId="0" fontId="74" fillId="41" borderId="123" xfId="0" applyFont="1" applyFill="1" applyBorder="1" applyAlignment="1">
      <alignment horizontal="center" vertical="center"/>
    </xf>
    <xf numFmtId="185" fontId="74" fillId="41" borderId="121" xfId="0" applyNumberFormat="1" applyFont="1" applyFill="1" applyBorder="1" applyAlignment="1">
      <alignment horizontal="center" vertical="center" wrapText="1"/>
    </xf>
    <xf numFmtId="185" fontId="74" fillId="41" borderId="123" xfId="0" applyNumberFormat="1" applyFont="1" applyFill="1" applyBorder="1" applyAlignment="1">
      <alignment horizontal="center" vertical="center" wrapText="1"/>
    </xf>
    <xf numFmtId="185" fontId="74" fillId="41" borderId="122" xfId="0" applyNumberFormat="1" applyFont="1" applyFill="1" applyBorder="1" applyAlignment="1">
      <alignment horizontal="center" vertical="center" wrapText="1"/>
    </xf>
    <xf numFmtId="185" fontId="75" fillId="41" borderId="123" xfId="0" applyNumberFormat="1" applyFont="1" applyFill="1" applyBorder="1" applyAlignment="1">
      <alignment horizontal="center" vertical="center" wrapText="1"/>
    </xf>
    <xf numFmtId="4" fontId="68" fillId="41" borderId="120" xfId="0" applyNumberFormat="1" applyFont="1" applyFill="1" applyBorder="1" applyAlignment="1">
      <alignment vertical="center"/>
    </xf>
    <xf numFmtId="0" fontId="68" fillId="41" borderId="124" xfId="0" applyFont="1" applyFill="1" applyBorder="1" applyAlignment="1">
      <alignment horizontal="center" vertical="center"/>
    </xf>
    <xf numFmtId="0" fontId="74" fillId="41" borderId="125" xfId="0" applyFont="1" applyFill="1" applyBorder="1" applyAlignment="1">
      <alignment horizontal="center" vertical="center"/>
    </xf>
    <xf numFmtId="185" fontId="74" fillId="41" borderId="126" xfId="0" applyNumberFormat="1" applyFont="1" applyFill="1" applyBorder="1" applyAlignment="1">
      <alignment horizontal="center" vertical="center" wrapText="1"/>
    </xf>
    <xf numFmtId="185" fontId="74" fillId="41" borderId="125" xfId="0" applyNumberFormat="1" applyFont="1" applyFill="1" applyBorder="1" applyAlignment="1">
      <alignment horizontal="center" vertical="center" wrapText="1"/>
    </xf>
    <xf numFmtId="185" fontId="74" fillId="41" borderId="127" xfId="0" applyNumberFormat="1" applyFont="1" applyFill="1" applyBorder="1" applyAlignment="1">
      <alignment horizontal="center" vertical="center" wrapText="1"/>
    </xf>
    <xf numFmtId="4" fontId="68" fillId="41" borderId="128" xfId="0" applyNumberFormat="1" applyFont="1" applyFill="1" applyBorder="1" applyAlignment="1">
      <alignment vertical="center"/>
    </xf>
    <xf numFmtId="0" fontId="65" fillId="0" borderId="0" xfId="0" applyFont="1" applyAlignment="1">
      <alignment/>
    </xf>
    <xf numFmtId="4" fontId="6" fillId="0" borderId="42" xfId="58" applyNumberFormat="1" applyFont="1" applyBorder="1" applyAlignment="1">
      <alignment horizontal="center" vertical="center" wrapText="1"/>
      <protection/>
    </xf>
    <xf numFmtId="173" fontId="6" fillId="0" borderId="42" xfId="73" applyNumberFormat="1" applyFont="1" applyFill="1" applyBorder="1" applyAlignment="1">
      <alignment horizontal="center" vertical="center" wrapText="1"/>
    </xf>
    <xf numFmtId="173" fontId="6" fillId="0" borderId="16" xfId="73" applyNumberFormat="1" applyFont="1" applyFill="1" applyBorder="1" applyAlignment="1">
      <alignment horizontal="center" vertical="center" wrapText="1"/>
    </xf>
    <xf numFmtId="0" fontId="66" fillId="0" borderId="73" xfId="0" applyFont="1" applyBorder="1" applyAlignment="1">
      <alignment horizontal="center" vertical="center"/>
    </xf>
    <xf numFmtId="4" fontId="6" fillId="0" borderId="16" xfId="57" applyNumberFormat="1" applyFont="1" applyBorder="1" applyAlignment="1">
      <alignment horizontal="left" vertical="center" wrapText="1"/>
      <protection/>
    </xf>
    <xf numFmtId="4" fontId="6" fillId="0" borderId="16" xfId="57" applyNumberFormat="1" applyFont="1" applyBorder="1" applyAlignment="1">
      <alignment horizontal="center" vertical="center" wrapText="1"/>
      <protection/>
    </xf>
    <xf numFmtId="0" fontId="12" fillId="0" borderId="73" xfId="0" applyFont="1" applyBorder="1" applyAlignment="1">
      <alignment horizontal="center" vertical="center"/>
    </xf>
    <xf numFmtId="39" fontId="6" fillId="0" borderId="16" xfId="64" applyNumberFormat="1" applyFont="1" applyBorder="1" applyAlignment="1">
      <alignment horizontal="center" vertical="center" wrapText="1"/>
      <protection/>
    </xf>
    <xf numFmtId="0" fontId="6" fillId="0" borderId="16" xfId="58" applyFont="1" applyBorder="1" applyAlignment="1">
      <alignment horizontal="left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  <xf numFmtId="4" fontId="6" fillId="0" borderId="20" xfId="64" applyNumberFormat="1" applyFont="1" applyBorder="1" applyAlignment="1">
      <alignment horizontal="center" vertical="center" wrapText="1"/>
      <protection/>
    </xf>
    <xf numFmtId="4" fontId="6" fillId="0" borderId="101" xfId="58" applyNumberFormat="1" applyFont="1" applyBorder="1" applyAlignment="1">
      <alignment horizontal="left" vertical="center" wrapText="1"/>
      <protection/>
    </xf>
    <xf numFmtId="4" fontId="6" fillId="0" borderId="101" xfId="58" applyNumberFormat="1" applyFont="1" applyBorder="1" applyAlignment="1">
      <alignment horizontal="center" vertical="center" wrapText="1"/>
      <protection/>
    </xf>
    <xf numFmtId="4" fontId="6" fillId="0" borderId="101" xfId="64" applyNumberFormat="1" applyFont="1" applyBorder="1" applyAlignment="1">
      <alignment horizontal="center" vertical="center" wrapText="1"/>
      <protection/>
    </xf>
    <xf numFmtId="0" fontId="66" fillId="0" borderId="129" xfId="0" applyFont="1" applyBorder="1" applyAlignment="1">
      <alignment horizontal="center" vertical="center"/>
    </xf>
    <xf numFmtId="4" fontId="6" fillId="0" borderId="69" xfId="58" applyNumberFormat="1" applyFont="1" applyBorder="1" applyAlignment="1">
      <alignment horizontal="left" vertical="center" wrapText="1"/>
      <protection/>
    </xf>
    <xf numFmtId="4" fontId="6" fillId="0" borderId="69" xfId="58" applyNumberFormat="1" applyFont="1" applyBorder="1" applyAlignment="1">
      <alignment horizontal="center" vertical="center" wrapText="1"/>
      <protection/>
    </xf>
    <xf numFmtId="173" fontId="6" fillId="0" borderId="69" xfId="73" applyNumberFormat="1" applyFont="1" applyFill="1" applyBorder="1" applyAlignment="1">
      <alignment horizontal="center" vertical="center" wrapText="1"/>
    </xf>
    <xf numFmtId="185" fontId="74" fillId="41" borderId="102" xfId="0" applyNumberFormat="1" applyFont="1" applyFill="1" applyBorder="1" applyAlignment="1" quotePrefix="1">
      <alignment horizontal="center" vertical="center" wrapText="1"/>
    </xf>
    <xf numFmtId="0" fontId="7" fillId="0" borderId="105" xfId="0" applyFont="1" applyFill="1" applyBorder="1" applyAlignment="1">
      <alignment horizontal="left" vertical="center"/>
    </xf>
    <xf numFmtId="0" fontId="7" fillId="0" borderId="130" xfId="0" applyFont="1" applyFill="1" applyBorder="1" applyAlignment="1">
      <alignment horizontal="left" vertical="center"/>
    </xf>
    <xf numFmtId="0" fontId="74" fillId="41" borderId="92" xfId="0" applyFont="1" applyFill="1" applyBorder="1" applyAlignment="1">
      <alignment horizontal="center" vertical="center"/>
    </xf>
    <xf numFmtId="0" fontId="74" fillId="41" borderId="0" xfId="0" applyFont="1" applyFill="1" applyBorder="1" applyAlignment="1">
      <alignment horizontal="center" vertical="center"/>
    </xf>
    <xf numFmtId="0" fontId="74" fillId="41" borderId="98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104" xfId="0" applyFont="1" applyFill="1" applyBorder="1" applyAlignment="1">
      <alignment vertical="center"/>
    </xf>
    <xf numFmtId="0" fontId="7" fillId="0" borderId="106" xfId="0" applyFont="1" applyFill="1" applyBorder="1" applyAlignment="1">
      <alignment vertical="center"/>
    </xf>
    <xf numFmtId="0" fontId="7" fillId="0" borderId="132" xfId="0" applyFont="1" applyFill="1" applyBorder="1" applyAlignment="1">
      <alignment vertical="center"/>
    </xf>
    <xf numFmtId="0" fontId="7" fillId="0" borderId="133" xfId="0" applyFont="1" applyFill="1" applyBorder="1" applyAlignment="1">
      <alignment vertical="center"/>
    </xf>
    <xf numFmtId="0" fontId="7" fillId="0" borderId="134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4" fillId="41" borderId="92" xfId="0" applyFont="1" applyFill="1" applyBorder="1" applyAlignment="1">
      <alignment horizontal="center" vertical="center"/>
    </xf>
    <xf numFmtId="0" fontId="74" fillId="41" borderId="0" xfId="0" applyFont="1" applyFill="1" applyBorder="1" applyAlignment="1">
      <alignment horizontal="center" vertical="center"/>
    </xf>
    <xf numFmtId="0" fontId="74" fillId="41" borderId="98" xfId="0" applyFont="1" applyFill="1" applyBorder="1" applyAlignment="1">
      <alignment horizontal="center" vertical="center"/>
    </xf>
    <xf numFmtId="4" fontId="76" fillId="43" borderId="108" xfId="0" applyNumberFormat="1" applyFont="1" applyFill="1" applyBorder="1" applyAlignment="1">
      <alignment horizontal="center" vertical="center"/>
    </xf>
    <xf numFmtId="4" fontId="76" fillId="43" borderId="97" xfId="0" applyNumberFormat="1" applyFont="1" applyFill="1" applyBorder="1" applyAlignment="1">
      <alignment horizontal="left" vertical="center"/>
    </xf>
    <xf numFmtId="0" fontId="72" fillId="43" borderId="88" xfId="0" applyFont="1" applyFill="1" applyBorder="1" applyAlignment="1">
      <alignment horizontal="center" vertical="center"/>
    </xf>
    <xf numFmtId="0" fontId="72" fillId="43" borderId="89" xfId="0" applyFont="1" applyFill="1" applyBorder="1" applyAlignment="1">
      <alignment horizontal="center" vertical="center"/>
    </xf>
    <xf numFmtId="2" fontId="72" fillId="43" borderId="89" xfId="0" applyNumberFormat="1" applyFont="1" applyFill="1" applyBorder="1" applyAlignment="1">
      <alignment horizontal="left" vertical="center"/>
    </xf>
    <xf numFmtId="0" fontId="72" fillId="43" borderId="90" xfId="0" applyFont="1" applyFill="1" applyBorder="1" applyAlignment="1">
      <alignment horizontal="center" vertical="center"/>
    </xf>
    <xf numFmtId="185" fontId="72" fillId="43" borderId="89" xfId="0" applyNumberFormat="1" applyFont="1" applyFill="1" applyBorder="1" applyAlignment="1">
      <alignment horizontal="center" vertical="center" wrapText="1"/>
    </xf>
    <xf numFmtId="185" fontId="72" fillId="43" borderId="90" xfId="0" applyNumberFormat="1" applyFont="1" applyFill="1" applyBorder="1" applyAlignment="1">
      <alignment horizontal="center" vertical="center" wrapText="1"/>
    </xf>
    <xf numFmtId="185" fontId="72" fillId="43" borderId="91" xfId="0" applyNumberFormat="1" applyFont="1" applyFill="1" applyBorder="1" applyAlignment="1">
      <alignment horizontal="center" vertical="center" wrapText="1"/>
    </xf>
    <xf numFmtId="185" fontId="77" fillId="43" borderId="117" xfId="0" applyNumberFormat="1" applyFont="1" applyFill="1" applyBorder="1" applyAlignment="1">
      <alignment horizontal="center" vertical="center" wrapText="1"/>
    </xf>
    <xf numFmtId="185" fontId="77" fillId="43" borderId="116" xfId="0" applyNumberFormat="1" applyFont="1" applyFill="1" applyBorder="1" applyAlignment="1">
      <alignment horizontal="center" vertical="center" wrapText="1"/>
    </xf>
    <xf numFmtId="0" fontId="6" fillId="0" borderId="26" xfId="64" applyFont="1" applyBorder="1" applyAlignment="1">
      <alignment horizontal="center" vertical="center" wrapText="1"/>
      <protection/>
    </xf>
    <xf numFmtId="187" fontId="74" fillId="41" borderId="98" xfId="0" applyNumberFormat="1" applyFont="1" applyFill="1" applyBorder="1" applyAlignment="1">
      <alignment horizontal="center" vertical="center" wrapText="1"/>
    </xf>
    <xf numFmtId="2" fontId="66" fillId="2" borderId="49" xfId="0" applyNumberFormat="1" applyFont="1" applyFill="1" applyBorder="1" applyAlignment="1">
      <alignment horizontal="center" vertical="center" wrapText="1"/>
    </xf>
    <xf numFmtId="168" fontId="66" fillId="0" borderId="49" xfId="0" applyNumberFormat="1" applyFont="1" applyBorder="1" applyAlignment="1">
      <alignment horizontal="center" vertical="center" wrapText="1"/>
    </xf>
    <xf numFmtId="168" fontId="66" fillId="0" borderId="60" xfId="0" applyNumberFormat="1" applyFont="1" applyBorder="1" applyAlignment="1">
      <alignment horizontal="center" vertical="center" wrapText="1"/>
    </xf>
    <xf numFmtId="172" fontId="66" fillId="0" borderId="135" xfId="0" applyNumberFormat="1" applyFont="1" applyBorder="1" applyAlignment="1">
      <alignment horizontal="center" vertical="center" wrapText="1"/>
    </xf>
    <xf numFmtId="2" fontId="66" fillId="0" borderId="52" xfId="0" applyNumberFormat="1" applyFont="1" applyBorder="1" applyAlignment="1">
      <alignment horizontal="center" vertical="center" wrapText="1"/>
    </xf>
    <xf numFmtId="2" fontId="66" fillId="2" borderId="52" xfId="0" applyNumberFormat="1" applyFont="1" applyFill="1" applyBorder="1" applyAlignment="1">
      <alignment horizontal="center" vertical="center" wrapText="1"/>
    </xf>
    <xf numFmtId="168" fontId="66" fillId="0" borderId="52" xfId="0" applyNumberFormat="1" applyFont="1" applyBorder="1" applyAlignment="1">
      <alignment horizontal="center" vertical="center" wrapText="1"/>
    </xf>
    <xf numFmtId="168" fontId="66" fillId="0" borderId="35" xfId="0" applyNumberFormat="1" applyFont="1" applyBorder="1" applyAlignment="1">
      <alignment horizontal="center" vertical="center" wrapText="1"/>
    </xf>
    <xf numFmtId="168" fontId="66" fillId="0" borderId="50" xfId="0" applyNumberFormat="1" applyFont="1" applyBorder="1" applyAlignment="1">
      <alignment horizontal="center" vertical="center" wrapText="1"/>
    </xf>
    <xf numFmtId="168" fontId="66" fillId="0" borderId="62" xfId="0" applyNumberFormat="1" applyFont="1" applyBorder="1" applyAlignment="1">
      <alignment horizontal="center" vertical="center" wrapText="1"/>
    </xf>
    <xf numFmtId="168" fontId="66" fillId="0" borderId="54" xfId="0" applyNumberFormat="1" applyFont="1" applyBorder="1" applyAlignment="1">
      <alignment horizontal="center" vertical="center" wrapText="1"/>
    </xf>
    <xf numFmtId="168" fontId="66" fillId="0" borderId="65" xfId="0" applyNumberFormat="1" applyFont="1" applyBorder="1" applyAlignment="1">
      <alignment horizontal="center" vertical="center" wrapText="1"/>
    </xf>
    <xf numFmtId="181" fontId="66" fillId="39" borderId="83" xfId="0" applyNumberFormat="1" applyFont="1" applyFill="1" applyBorder="1" applyAlignment="1">
      <alignment horizontal="center" vertical="center" wrapText="1"/>
    </xf>
    <xf numFmtId="168" fontId="66" fillId="39" borderId="54" xfId="0" applyNumberFormat="1" applyFont="1" applyFill="1" applyBorder="1" applyAlignment="1">
      <alignment horizontal="center" vertical="center" wrapText="1"/>
    </xf>
    <xf numFmtId="168" fontId="66" fillId="39" borderId="65" xfId="0" applyNumberFormat="1" applyFont="1" applyFill="1" applyBorder="1" applyAlignment="1">
      <alignment horizontal="center" vertical="center" wrapText="1"/>
    </xf>
    <xf numFmtId="172" fontId="69" fillId="0" borderId="64" xfId="0" applyNumberFormat="1" applyFont="1" applyBorder="1" applyAlignment="1">
      <alignment horizontal="center" vertical="center" wrapText="1"/>
    </xf>
    <xf numFmtId="170" fontId="66" fillId="0" borderId="0" xfId="0" applyNumberFormat="1" applyFont="1" applyBorder="1" applyAlignment="1">
      <alignment horizontal="center" vertical="center" wrapText="1"/>
    </xf>
    <xf numFmtId="0" fontId="69" fillId="38" borderId="46" xfId="0" applyFont="1" applyFill="1" applyBorder="1" applyAlignment="1">
      <alignment horizontal="right" vertical="center"/>
    </xf>
    <xf numFmtId="0" fontId="69" fillId="38" borderId="55" xfId="0" applyFont="1" applyFill="1" applyBorder="1" applyAlignment="1">
      <alignment horizontal="center" vertical="center"/>
    </xf>
    <xf numFmtId="0" fontId="5" fillId="38" borderId="19" xfId="57" applyFont="1" applyFill="1" applyBorder="1" applyAlignment="1">
      <alignment horizontal="center" vertical="center"/>
      <protection/>
    </xf>
    <xf numFmtId="0" fontId="69" fillId="38" borderId="19" xfId="0" applyFont="1" applyFill="1" applyBorder="1" applyAlignment="1">
      <alignment horizontal="center" vertical="center"/>
    </xf>
    <xf numFmtId="0" fontId="69" fillId="38" borderId="32" xfId="0" applyFont="1" applyFill="1" applyBorder="1" applyAlignment="1">
      <alignment horizontal="center" vertical="center"/>
    </xf>
    <xf numFmtId="2" fontId="66" fillId="38" borderId="42" xfId="0" applyNumberFormat="1" applyFont="1" applyFill="1" applyBorder="1" applyAlignment="1">
      <alignment horizontal="center" vertical="center"/>
    </xf>
    <xf numFmtId="2" fontId="66" fillId="38" borderId="16" xfId="0" applyNumberFormat="1" applyFont="1" applyFill="1" applyBorder="1" applyAlignment="1">
      <alignment horizontal="center" vertical="center"/>
    </xf>
    <xf numFmtId="0" fontId="74" fillId="41" borderId="92" xfId="0" applyFont="1" applyFill="1" applyBorder="1" applyAlignment="1">
      <alignment horizontal="center" vertical="center"/>
    </xf>
    <xf numFmtId="0" fontId="74" fillId="41" borderId="0" xfId="0" applyFont="1" applyFill="1" applyBorder="1" applyAlignment="1">
      <alignment horizontal="center" vertical="center"/>
    </xf>
    <xf numFmtId="0" fontId="74" fillId="41" borderId="98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74" fillId="41" borderId="92" xfId="0" applyFont="1" applyFill="1" applyBorder="1" applyAlignment="1">
      <alignment horizontal="center" vertical="center"/>
    </xf>
    <xf numFmtId="0" fontId="74" fillId="41" borderId="0" xfId="0" applyFont="1" applyFill="1" applyBorder="1" applyAlignment="1">
      <alignment horizontal="center" vertical="center"/>
    </xf>
    <xf numFmtId="0" fontId="74" fillId="41" borderId="98" xfId="0" applyFont="1" applyFill="1" applyBorder="1" applyAlignment="1">
      <alignment horizontal="center" vertical="center"/>
    </xf>
    <xf numFmtId="201" fontId="74" fillId="41" borderId="98" xfId="0" applyNumberFormat="1" applyFont="1" applyFill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/>
    </xf>
    <xf numFmtId="4" fontId="6" fillId="0" borderId="0" xfId="58" applyNumberFormat="1" applyFont="1" applyAlignment="1">
      <alignment horizontal="left" vertical="center" wrapText="1"/>
      <protection/>
    </xf>
    <xf numFmtId="4" fontId="74" fillId="41" borderId="109" xfId="0" applyNumberFormat="1" applyFont="1" applyFill="1" applyBorder="1" applyAlignment="1">
      <alignment horizontal="right" vertical="center"/>
    </xf>
    <xf numFmtId="4" fontId="66" fillId="0" borderId="136" xfId="0" applyNumberFormat="1" applyFont="1" applyBorder="1" applyAlignment="1">
      <alignment horizontal="center" vertical="center" wrapText="1"/>
    </xf>
    <xf numFmtId="181" fontId="66" fillId="0" borderId="136" xfId="0" applyNumberFormat="1" applyFont="1" applyBorder="1" applyAlignment="1">
      <alignment horizontal="center" vertical="center" wrapText="1"/>
    </xf>
    <xf numFmtId="0" fontId="66" fillId="0" borderId="137" xfId="0" applyFont="1" applyBorder="1" applyAlignment="1">
      <alignment horizontal="center" vertical="center"/>
    </xf>
    <xf numFmtId="0" fontId="65" fillId="0" borderId="86" xfId="0" applyFont="1" applyFill="1" applyBorder="1" applyAlignment="1">
      <alignment horizontal="center"/>
    </xf>
    <xf numFmtId="0" fontId="65" fillId="0" borderId="57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172" fontId="69" fillId="0" borderId="64" xfId="0" applyNumberFormat="1" applyFont="1" applyBorder="1" applyAlignment="1">
      <alignment horizontal="center" vertical="center" wrapText="1"/>
    </xf>
    <xf numFmtId="0" fontId="74" fillId="41" borderId="92" xfId="0" applyFont="1" applyFill="1" applyBorder="1" applyAlignment="1">
      <alignment horizontal="center" vertical="center"/>
    </xf>
    <xf numFmtId="0" fontId="74" fillId="41" borderId="0" xfId="0" applyFont="1" applyFill="1" applyBorder="1" applyAlignment="1">
      <alignment horizontal="center" vertical="center"/>
    </xf>
    <xf numFmtId="0" fontId="74" fillId="41" borderId="98" xfId="0" applyFont="1" applyFill="1" applyBorder="1" applyAlignment="1">
      <alignment horizontal="center" vertical="center"/>
    </xf>
    <xf numFmtId="204" fontId="6" fillId="0" borderId="67" xfId="0" applyNumberFormat="1" applyFont="1" applyFill="1" applyBorder="1" applyAlignment="1">
      <alignment horizontal="left" vertical="center"/>
    </xf>
    <xf numFmtId="204" fontId="69" fillId="39" borderId="74" xfId="0" applyNumberFormat="1" applyFont="1" applyFill="1" applyBorder="1" applyAlignment="1">
      <alignment vertical="center"/>
    </xf>
    <xf numFmtId="204" fontId="6" fillId="0" borderId="16" xfId="58" applyNumberFormat="1" applyFont="1" applyBorder="1" applyAlignment="1">
      <alignment horizontal="left" vertical="center" wrapText="1"/>
      <protection/>
    </xf>
    <xf numFmtId="204" fontId="7" fillId="0" borderId="134" xfId="0" applyNumberFormat="1" applyFont="1" applyFill="1" applyBorder="1" applyAlignment="1">
      <alignment vertical="center"/>
    </xf>
    <xf numFmtId="4" fontId="5" fillId="36" borderId="58" xfId="64" applyNumberFormat="1" applyFont="1" applyFill="1" applyBorder="1" applyAlignment="1">
      <alignment vertical="center" wrapText="1"/>
      <protection/>
    </xf>
    <xf numFmtId="0" fontId="7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" fontId="7" fillId="0" borderId="62" xfId="0" applyNumberFormat="1" applyFont="1" applyFill="1" applyBorder="1" applyAlignment="1">
      <alignment horizontal="center" vertical="center" wrapText="1"/>
    </xf>
    <xf numFmtId="0" fontId="74" fillId="41" borderId="98" xfId="0" applyNumberFormat="1" applyFont="1" applyFill="1" applyBorder="1" applyAlignment="1">
      <alignment horizontal="center" vertical="center" wrapText="1"/>
    </xf>
    <xf numFmtId="166" fontId="70" fillId="41" borderId="0" xfId="0" applyNumberFormat="1" applyFont="1" applyFill="1" applyAlignment="1">
      <alignment vertical="center"/>
    </xf>
    <xf numFmtId="2" fontId="74" fillId="41" borderId="98" xfId="72" applyNumberFormat="1" applyFont="1" applyFill="1" applyBorder="1" applyAlignment="1">
      <alignment horizontal="right" vertical="center" wrapText="1"/>
    </xf>
    <xf numFmtId="0" fontId="69" fillId="0" borderId="138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 wrapText="1"/>
    </xf>
    <xf numFmtId="2" fontId="69" fillId="0" borderId="23" xfId="0" applyNumberFormat="1" applyFont="1" applyBorder="1" applyAlignment="1">
      <alignment horizontal="center" vertical="center" wrapText="1"/>
    </xf>
    <xf numFmtId="0" fontId="66" fillId="0" borderId="50" xfId="0" applyFont="1" applyBorder="1" applyAlignment="1">
      <alignment vertical="center" wrapText="1"/>
    </xf>
    <xf numFmtId="181" fontId="66" fillId="0" borderId="50" xfId="0" applyNumberFormat="1" applyFont="1" applyBorder="1" applyAlignment="1">
      <alignment vertical="center" wrapText="1"/>
    </xf>
    <xf numFmtId="0" fontId="66" fillId="0" borderId="54" xfId="0" applyFont="1" applyBorder="1" applyAlignment="1">
      <alignment vertical="center" wrapText="1"/>
    </xf>
    <xf numFmtId="181" fontId="66" fillId="0" borderId="54" xfId="0" applyNumberFormat="1" applyFont="1" applyBorder="1" applyAlignment="1">
      <alignment vertical="center" wrapText="1"/>
    </xf>
    <xf numFmtId="0" fontId="66" fillId="0" borderId="49" xfId="0" applyFont="1" applyBorder="1" applyAlignment="1">
      <alignment vertical="center" wrapText="1"/>
    </xf>
    <xf numFmtId="181" fontId="66" fillId="0" borderId="49" xfId="0" applyNumberFormat="1" applyFont="1" applyBorder="1" applyAlignment="1">
      <alignment vertical="center" wrapText="1"/>
    </xf>
    <xf numFmtId="168" fontId="66" fillId="0" borderId="55" xfId="0" applyNumberFormat="1" applyFont="1" applyBorder="1" applyAlignment="1">
      <alignment horizontal="center" vertical="center" wrapText="1"/>
    </xf>
    <xf numFmtId="168" fontId="66" fillId="0" borderId="32" xfId="0" applyNumberFormat="1" applyFont="1" applyBorder="1" applyAlignment="1">
      <alignment horizontal="center" vertical="center" wrapText="1"/>
    </xf>
    <xf numFmtId="10" fontId="8" fillId="39" borderId="62" xfId="72" applyNumberFormat="1" applyFont="1" applyFill="1" applyBorder="1" applyAlignment="1">
      <alignment horizontal="center" vertical="center"/>
    </xf>
    <xf numFmtId="0" fontId="69" fillId="38" borderId="55" xfId="0" applyFont="1" applyFill="1" applyBorder="1" applyAlignment="1">
      <alignment horizontal="center" vertical="center"/>
    </xf>
    <xf numFmtId="0" fontId="69" fillId="38" borderId="19" xfId="0" applyFont="1" applyFill="1" applyBorder="1" applyAlignment="1">
      <alignment horizontal="center" vertical="center"/>
    </xf>
    <xf numFmtId="0" fontId="69" fillId="38" borderId="32" xfId="0" applyFont="1" applyFill="1" applyBorder="1" applyAlignment="1">
      <alignment horizontal="center" vertical="center"/>
    </xf>
    <xf numFmtId="0" fontId="5" fillId="38" borderId="19" xfId="57" applyFont="1" applyFill="1" applyBorder="1" applyAlignment="1">
      <alignment horizontal="center" vertical="center"/>
      <protection/>
    </xf>
    <xf numFmtId="0" fontId="69" fillId="38" borderId="46" xfId="0" applyFont="1" applyFill="1" applyBorder="1" applyAlignment="1">
      <alignment horizontal="right" vertical="center"/>
    </xf>
    <xf numFmtId="2" fontId="66" fillId="38" borderId="16" xfId="0" applyNumberFormat="1" applyFont="1" applyFill="1" applyBorder="1" applyAlignment="1">
      <alignment horizontal="center" vertical="center"/>
    </xf>
    <xf numFmtId="4" fontId="66" fillId="0" borderId="49" xfId="0" applyNumberFormat="1" applyFont="1" applyBorder="1" applyAlignment="1">
      <alignment horizontal="center" vertical="center" wrapText="1"/>
    </xf>
    <xf numFmtId="4" fontId="66" fillId="0" borderId="50" xfId="0" applyNumberFormat="1" applyFont="1" applyBorder="1" applyAlignment="1">
      <alignment horizontal="center" vertical="center" wrapText="1"/>
    </xf>
    <xf numFmtId="4" fontId="66" fillId="0" borderId="54" xfId="0" applyNumberFormat="1" applyFont="1" applyBorder="1" applyAlignment="1">
      <alignment horizontal="center" vertical="center" wrapText="1"/>
    </xf>
    <xf numFmtId="4" fontId="66" fillId="0" borderId="68" xfId="0" applyNumberFormat="1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181" fontId="66" fillId="0" borderId="55" xfId="0" applyNumberFormat="1" applyFont="1" applyBorder="1" applyAlignment="1">
      <alignment horizontal="center" vertical="center" wrapText="1"/>
    </xf>
    <xf numFmtId="181" fontId="66" fillId="0" borderId="50" xfId="0" applyNumberFormat="1" applyFont="1" applyBorder="1" applyAlignment="1">
      <alignment horizontal="center" vertical="center" wrapText="1"/>
    </xf>
    <xf numFmtId="181" fontId="66" fillId="0" borderId="54" xfId="0" applyNumberFormat="1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181" fontId="66" fillId="0" borderId="49" xfId="0" applyNumberFormat="1" applyFont="1" applyBorder="1" applyAlignment="1">
      <alignment horizontal="center" vertical="center" wrapText="1"/>
    </xf>
    <xf numFmtId="4" fontId="66" fillId="0" borderId="55" xfId="0" applyNumberFormat="1" applyFont="1" applyBorder="1" applyAlignment="1">
      <alignment horizontal="center" vertical="center" wrapText="1"/>
    </xf>
    <xf numFmtId="178" fontId="66" fillId="0" borderId="50" xfId="0" applyNumberFormat="1" applyFont="1" applyBorder="1" applyAlignment="1">
      <alignment horizontal="center" vertical="center" wrapText="1"/>
    </xf>
    <xf numFmtId="174" fontId="66" fillId="0" borderId="52" xfId="0" applyNumberFormat="1" applyFont="1" applyBorder="1" applyAlignment="1">
      <alignment horizontal="center" vertical="center" wrapText="1"/>
    </xf>
    <xf numFmtId="174" fontId="66" fillId="0" borderId="50" xfId="0" applyNumberFormat="1" applyFont="1" applyBorder="1" applyAlignment="1">
      <alignment horizontal="center" vertical="center" wrapText="1"/>
    </xf>
    <xf numFmtId="174" fontId="66" fillId="0" borderId="54" xfId="0" applyNumberFormat="1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74" fillId="41" borderId="128" xfId="0" applyFont="1" applyFill="1" applyBorder="1" applyAlignment="1">
      <alignment horizontal="center" vertical="center"/>
    </xf>
    <xf numFmtId="0" fontId="74" fillId="41" borderId="126" xfId="0" applyFont="1" applyFill="1" applyBorder="1" applyAlignment="1">
      <alignment horizontal="center" vertical="center"/>
    </xf>
    <xf numFmtId="0" fontId="74" fillId="41" borderId="127" xfId="0" applyFont="1" applyFill="1" applyBorder="1" applyAlignment="1">
      <alignment horizontal="center" vertical="center"/>
    </xf>
    <xf numFmtId="0" fontId="74" fillId="41" borderId="92" xfId="0" applyFont="1" applyFill="1" applyBorder="1" applyAlignment="1">
      <alignment horizontal="center" vertical="center"/>
    </xf>
    <xf numFmtId="0" fontId="74" fillId="41" borderId="0" xfId="0" applyFont="1" applyFill="1" applyBorder="1" applyAlignment="1">
      <alignment horizontal="center" vertical="center"/>
    </xf>
    <xf numFmtId="0" fontId="74" fillId="41" borderId="98" xfId="0" applyFont="1" applyFill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178" fontId="66" fillId="0" borderId="16" xfId="0" applyNumberFormat="1" applyFont="1" applyBorder="1" applyAlignment="1">
      <alignment horizontal="center" vertical="center"/>
    </xf>
    <xf numFmtId="178" fontId="66" fillId="38" borderId="16" xfId="0" applyNumberFormat="1" applyFont="1" applyFill="1" applyBorder="1" applyAlignment="1">
      <alignment horizontal="center" vertical="center"/>
    </xf>
    <xf numFmtId="2" fontId="66" fillId="0" borderId="42" xfId="0" applyNumberFormat="1" applyFont="1" applyBorder="1" applyAlignment="1">
      <alignment horizontal="center" vertical="center"/>
    </xf>
    <xf numFmtId="4" fontId="66" fillId="38" borderId="42" xfId="0" applyNumberFormat="1" applyFont="1" applyFill="1" applyBorder="1" applyAlignment="1">
      <alignment horizontal="center" vertical="center"/>
    </xf>
    <xf numFmtId="10" fontId="66" fillId="38" borderId="42" xfId="76" applyNumberFormat="1" applyFont="1" applyFill="1" applyBorder="1" applyAlignment="1">
      <alignment horizontal="center" vertical="center"/>
    </xf>
    <xf numFmtId="2" fontId="66" fillId="0" borderId="43" xfId="0" applyNumberFormat="1" applyFont="1" applyBorder="1" applyAlignment="1">
      <alignment horizontal="center" vertical="center"/>
    </xf>
    <xf numFmtId="4" fontId="66" fillId="0" borderId="17" xfId="0" applyNumberFormat="1" applyFont="1" applyBorder="1" applyAlignment="1">
      <alignment horizontal="center" vertical="center"/>
    </xf>
    <xf numFmtId="4" fontId="66" fillId="0" borderId="35" xfId="0" applyNumberFormat="1" applyFont="1" applyBorder="1" applyAlignment="1">
      <alignment horizontal="center" vertical="center"/>
    </xf>
    <xf numFmtId="4" fontId="66" fillId="38" borderId="21" xfId="0" applyNumberFormat="1" applyFont="1" applyFill="1" applyBorder="1" applyAlignment="1">
      <alignment horizontal="center" vertical="center"/>
    </xf>
    <xf numFmtId="0" fontId="66" fillId="0" borderId="29" xfId="0" applyFont="1" applyBorder="1" applyAlignment="1">
      <alignment horizontal="center" vertical="center" wrapText="1"/>
    </xf>
    <xf numFmtId="2" fontId="66" fillId="0" borderId="19" xfId="0" applyNumberFormat="1" applyFont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4" fontId="66" fillId="38" borderId="59" xfId="0" applyNumberFormat="1" applyFont="1" applyFill="1" applyBorder="1" applyAlignment="1">
      <alignment horizontal="center" vertical="center"/>
    </xf>
    <xf numFmtId="172" fontId="66" fillId="0" borderId="84" xfId="0" applyNumberFormat="1" applyFont="1" applyBorder="1" applyAlignment="1">
      <alignment horizontal="center" vertical="center" wrapText="1"/>
    </xf>
    <xf numFmtId="172" fontId="66" fillId="0" borderId="58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4" fontId="76" fillId="42" borderId="139" xfId="0" applyNumberFormat="1" applyFont="1" applyFill="1" applyBorder="1" applyAlignment="1">
      <alignment horizontal="center" vertical="center"/>
    </xf>
    <xf numFmtId="4" fontId="76" fillId="42" borderId="140" xfId="0" applyNumberFormat="1" applyFont="1" applyFill="1" applyBorder="1" applyAlignment="1">
      <alignment horizontal="left" vertical="center"/>
    </xf>
    <xf numFmtId="0" fontId="72" fillId="42" borderId="141" xfId="0" applyFont="1" applyFill="1" applyBorder="1" applyAlignment="1">
      <alignment horizontal="center" vertical="center"/>
    </xf>
    <xf numFmtId="0" fontId="72" fillId="42" borderId="142" xfId="0" applyFont="1" applyFill="1" applyBorder="1" applyAlignment="1">
      <alignment horizontal="center" vertical="center"/>
    </xf>
    <xf numFmtId="2" fontId="72" fillId="42" borderId="142" xfId="0" applyNumberFormat="1" applyFont="1" applyFill="1" applyBorder="1" applyAlignment="1">
      <alignment horizontal="left" vertical="center"/>
    </xf>
    <xf numFmtId="0" fontId="72" fillId="42" borderId="143" xfId="0" applyFont="1" applyFill="1" applyBorder="1" applyAlignment="1">
      <alignment horizontal="center" vertical="center"/>
    </xf>
    <xf numFmtId="185" fontId="72" fillId="42" borderId="142" xfId="0" applyNumberFormat="1" applyFont="1" applyFill="1" applyBorder="1" applyAlignment="1">
      <alignment horizontal="center" vertical="center" wrapText="1"/>
    </xf>
    <xf numFmtId="185" fontId="72" fillId="42" borderId="143" xfId="0" applyNumberFormat="1" applyFont="1" applyFill="1" applyBorder="1" applyAlignment="1">
      <alignment horizontal="center" vertical="center" wrapText="1"/>
    </xf>
    <xf numFmtId="185" fontId="72" fillId="42" borderId="144" xfId="0" applyNumberFormat="1" applyFont="1" applyFill="1" applyBorder="1" applyAlignment="1">
      <alignment horizontal="center" vertical="center" wrapText="1"/>
    </xf>
    <xf numFmtId="4" fontId="68" fillId="41" borderId="128" xfId="0" applyNumberFormat="1" applyFont="1" applyFill="1" applyBorder="1" applyAlignment="1">
      <alignment vertical="center" wrapText="1"/>
    </xf>
    <xf numFmtId="0" fontId="68" fillId="41" borderId="128" xfId="0" applyFont="1" applyFill="1" applyBorder="1" applyAlignment="1">
      <alignment vertical="center"/>
    </xf>
    <xf numFmtId="0" fontId="69" fillId="38" borderId="32" xfId="0" applyFont="1" applyFill="1" applyBorder="1" applyAlignment="1">
      <alignment horizontal="center" vertical="center"/>
    </xf>
    <xf numFmtId="0" fontId="5" fillId="38" borderId="19" xfId="57" applyFont="1" applyFill="1" applyBorder="1" applyAlignment="1">
      <alignment horizontal="center" vertical="center"/>
      <protection/>
    </xf>
    <xf numFmtId="0" fontId="69" fillId="38" borderId="55" xfId="0" applyFont="1" applyFill="1" applyBorder="1" applyAlignment="1">
      <alignment horizontal="center" vertical="center"/>
    </xf>
    <xf numFmtId="0" fontId="69" fillId="38" borderId="19" xfId="0" applyFont="1" applyFill="1" applyBorder="1" applyAlignment="1">
      <alignment horizontal="center" vertical="center"/>
    </xf>
    <xf numFmtId="0" fontId="69" fillId="38" borderId="46" xfId="0" applyFont="1" applyFill="1" applyBorder="1" applyAlignment="1">
      <alignment horizontal="right" vertical="center"/>
    </xf>
    <xf numFmtId="2" fontId="66" fillId="38" borderId="42" xfId="0" applyNumberFormat="1" applyFont="1" applyFill="1" applyBorder="1" applyAlignment="1">
      <alignment horizontal="center" vertical="center"/>
    </xf>
    <xf numFmtId="0" fontId="74" fillId="41" borderId="92" xfId="0" applyFont="1" applyFill="1" applyBorder="1" applyAlignment="1">
      <alignment horizontal="center" vertical="center"/>
    </xf>
    <xf numFmtId="0" fontId="74" fillId="41" borderId="0" xfId="0" applyFont="1" applyFill="1" applyBorder="1" applyAlignment="1">
      <alignment horizontal="center" vertical="center"/>
    </xf>
    <xf numFmtId="0" fontId="74" fillId="41" borderId="98" xfId="0" applyFont="1" applyFill="1" applyBorder="1" applyAlignment="1">
      <alignment horizontal="center" vertical="center"/>
    </xf>
    <xf numFmtId="4" fontId="66" fillId="0" borderId="16" xfId="0" applyNumberFormat="1" applyFont="1" applyFill="1" applyBorder="1" applyAlignment="1">
      <alignment horizontal="center" vertical="center"/>
    </xf>
    <xf numFmtId="4" fontId="70" fillId="0" borderId="92" xfId="0" applyNumberFormat="1" applyFont="1" applyFill="1" applyBorder="1" applyAlignment="1" quotePrefix="1">
      <alignment horizontal="right" vertical="center" wrapText="1"/>
    </xf>
    <xf numFmtId="4" fontId="70" fillId="0" borderId="92" xfId="0" applyNumberFormat="1" applyFont="1" applyFill="1" applyBorder="1" applyAlignment="1">
      <alignment horizontal="right" vertical="center" wrapText="1"/>
    </xf>
    <xf numFmtId="0" fontId="6" fillId="38" borderId="41" xfId="57" applyFont="1" applyFill="1" applyBorder="1" applyAlignment="1">
      <alignment horizontal="center" vertical="center"/>
      <protection/>
    </xf>
    <xf numFmtId="0" fontId="6" fillId="38" borderId="42" xfId="57" applyFont="1" applyFill="1" applyBorder="1" applyAlignment="1">
      <alignment horizontal="center" vertical="center"/>
      <protection/>
    </xf>
    <xf numFmtId="0" fontId="66" fillId="38" borderId="42" xfId="0" applyFont="1" applyFill="1" applyBorder="1" applyAlignment="1">
      <alignment horizontal="left" vertical="center" wrapText="1"/>
    </xf>
    <xf numFmtId="0" fontId="5" fillId="38" borderId="42" xfId="57" applyFont="1" applyFill="1" applyBorder="1" applyAlignment="1">
      <alignment horizontal="center" vertical="center" wrapText="1"/>
      <protection/>
    </xf>
    <xf numFmtId="4" fontId="6" fillId="38" borderId="42" xfId="57" applyNumberFormat="1" applyFont="1" applyFill="1" applyBorder="1" applyAlignment="1">
      <alignment horizontal="center" vertical="center"/>
      <protection/>
    </xf>
    <xf numFmtId="4" fontId="6" fillId="38" borderId="33" xfId="57" applyNumberFormat="1" applyFont="1" applyFill="1" applyBorder="1" applyAlignment="1">
      <alignment horizontal="center" vertical="center" wrapText="1"/>
      <protection/>
    </xf>
    <xf numFmtId="0" fontId="6" fillId="38" borderId="43" xfId="57" applyFont="1" applyFill="1" applyBorder="1" applyAlignment="1">
      <alignment horizontal="center" vertical="center"/>
      <protection/>
    </xf>
    <xf numFmtId="0" fontId="66" fillId="38" borderId="43" xfId="0" applyFont="1" applyFill="1" applyBorder="1" applyAlignment="1">
      <alignment horizontal="left" vertical="center" wrapText="1"/>
    </xf>
    <xf numFmtId="0" fontId="5" fillId="38" borderId="43" xfId="57" applyFont="1" applyFill="1" applyBorder="1" applyAlignment="1">
      <alignment horizontal="center" vertical="center" wrapText="1"/>
      <protection/>
    </xf>
    <xf numFmtId="4" fontId="6" fillId="38" borderId="43" xfId="57" applyNumberFormat="1" applyFont="1" applyFill="1" applyBorder="1" applyAlignment="1">
      <alignment horizontal="center" vertical="center"/>
      <protection/>
    </xf>
    <xf numFmtId="4" fontId="6" fillId="38" borderId="34" xfId="57" applyNumberFormat="1" applyFont="1" applyFill="1" applyBorder="1" applyAlignment="1">
      <alignment horizontal="center" vertical="center" wrapText="1"/>
      <protection/>
    </xf>
    <xf numFmtId="0" fontId="66" fillId="38" borderId="67" xfId="0" applyFont="1" applyFill="1" applyBorder="1" applyAlignment="1">
      <alignment horizontal="center" vertical="center"/>
    </xf>
    <xf numFmtId="4" fontId="66" fillId="38" borderId="43" xfId="0" applyNumberFormat="1" applyFont="1" applyFill="1" applyBorder="1" applyAlignment="1">
      <alignment horizontal="center" vertical="center"/>
    </xf>
    <xf numFmtId="10" fontId="66" fillId="38" borderId="43" xfId="76" applyNumberFormat="1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" fontId="13" fillId="0" borderId="27" xfId="0" applyNumberFormat="1" applyFont="1" applyFill="1" applyBorder="1" applyAlignment="1">
      <alignment horizontal="center" vertical="center" wrapText="1"/>
    </xf>
    <xf numFmtId="1" fontId="13" fillId="0" borderId="145" xfId="0" applyNumberFormat="1" applyFont="1" applyFill="1" applyBorder="1" applyAlignment="1">
      <alignment horizontal="center" vertical="center"/>
    </xf>
    <xf numFmtId="1" fontId="13" fillId="0" borderId="61" xfId="0" applyNumberFormat="1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left" vertical="center"/>
    </xf>
    <xf numFmtId="0" fontId="5" fillId="0" borderId="147" xfId="0" applyFont="1" applyFill="1" applyBorder="1" applyAlignment="1">
      <alignment horizontal="left" vertical="center"/>
    </xf>
    <xf numFmtId="0" fontId="7" fillId="8" borderId="148" xfId="64" applyFont="1" applyFill="1" applyBorder="1" applyAlignment="1">
      <alignment horizontal="center" vertical="center" wrapText="1"/>
      <protection/>
    </xf>
    <xf numFmtId="0" fontId="7" fillId="8" borderId="28" xfId="64" applyFont="1" applyFill="1" applyBorder="1" applyAlignment="1">
      <alignment horizontal="center" vertical="center" wrapText="1"/>
      <protection/>
    </xf>
    <xf numFmtId="0" fontId="5" fillId="0" borderId="133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31" xfId="0" applyFont="1" applyFill="1" applyBorder="1" applyAlignment="1">
      <alignment horizontal="left" vertical="center" wrapText="1"/>
    </xf>
    <xf numFmtId="0" fontId="5" fillId="0" borderId="134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5" fillId="0" borderId="104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center" wrapText="1"/>
    </xf>
    <xf numFmtId="0" fontId="6" fillId="36" borderId="86" xfId="64" applyFont="1" applyFill="1" applyBorder="1" applyAlignment="1">
      <alignment horizontal="center" vertical="center" wrapText="1"/>
      <protection/>
    </xf>
    <xf numFmtId="0" fontId="6" fillId="36" borderId="44" xfId="64" applyFont="1" applyFill="1" applyBorder="1" applyAlignment="1">
      <alignment horizontal="center" vertical="center" wrapText="1"/>
      <protection/>
    </xf>
    <xf numFmtId="4" fontId="5" fillId="36" borderId="56" xfId="64" applyNumberFormat="1" applyFont="1" applyFill="1" applyBorder="1" applyAlignment="1">
      <alignment horizontal="left" vertical="center" wrapText="1"/>
      <protection/>
    </xf>
    <xf numFmtId="4" fontId="5" fillId="36" borderId="57" xfId="64" applyNumberFormat="1" applyFont="1" applyFill="1" applyBorder="1" applyAlignment="1">
      <alignment horizontal="left" vertical="center" wrapText="1"/>
      <protection/>
    </xf>
    <xf numFmtId="4" fontId="5" fillId="36" borderId="58" xfId="64" applyNumberFormat="1" applyFont="1" applyFill="1" applyBorder="1" applyAlignment="1">
      <alignment horizontal="left" vertical="center" wrapText="1"/>
      <protection/>
    </xf>
    <xf numFmtId="3" fontId="5" fillId="36" borderId="86" xfId="56" applyNumberFormat="1" applyFont="1" applyFill="1" applyBorder="1" applyAlignment="1">
      <alignment horizontal="right" vertical="center" wrapText="1"/>
      <protection/>
    </xf>
    <xf numFmtId="3" fontId="5" fillId="36" borderId="57" xfId="56" applyNumberFormat="1" applyFont="1" applyFill="1" applyBorder="1" applyAlignment="1">
      <alignment horizontal="right" vertical="center" wrapText="1"/>
      <protection/>
    </xf>
    <xf numFmtId="3" fontId="5" fillId="36" borderId="44" xfId="56" applyNumberFormat="1" applyFont="1" applyFill="1" applyBorder="1" applyAlignment="1">
      <alignment horizontal="right" vertical="center" wrapText="1"/>
      <protection/>
    </xf>
    <xf numFmtId="0" fontId="6" fillId="0" borderId="149" xfId="0" applyFont="1" applyFill="1" applyBorder="1" applyAlignment="1">
      <alignment horizontal="left" vertical="center" wrapText="1"/>
    </xf>
    <xf numFmtId="0" fontId="6" fillId="0" borderId="150" xfId="0" applyFont="1" applyFill="1" applyBorder="1" applyAlignment="1">
      <alignment horizontal="left" vertical="center" wrapText="1"/>
    </xf>
    <xf numFmtId="0" fontId="6" fillId="0" borderId="87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5" fillId="0" borderId="103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204" fontId="5" fillId="0" borderId="104" xfId="0" applyNumberFormat="1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65" fillId="0" borderId="86" xfId="0" applyFont="1" applyFill="1" applyBorder="1" applyAlignment="1">
      <alignment horizontal="center"/>
    </xf>
    <xf numFmtId="0" fontId="65" fillId="0" borderId="57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183" fontId="6" fillId="0" borderId="132" xfId="0" applyNumberFormat="1" applyFont="1" applyFill="1" applyBorder="1" applyAlignment="1">
      <alignment horizontal="left" vertical="center"/>
    </xf>
    <xf numFmtId="183" fontId="6" fillId="0" borderId="67" xfId="0" applyNumberFormat="1" applyFont="1" applyFill="1" applyBorder="1" applyAlignment="1">
      <alignment horizontal="left" vertical="center"/>
    </xf>
    <xf numFmtId="3" fontId="10" fillId="36" borderId="148" xfId="56" applyNumberFormat="1" applyFont="1" applyFill="1" applyBorder="1" applyAlignment="1">
      <alignment horizontal="right" vertical="center" wrapText="1"/>
      <protection/>
    </xf>
    <xf numFmtId="3" fontId="10" fillId="36" borderId="46" xfId="56" applyNumberFormat="1" applyFont="1" applyFill="1" applyBorder="1" applyAlignment="1">
      <alignment horizontal="right" vertical="center" wrapText="1"/>
      <protection/>
    </xf>
    <xf numFmtId="3" fontId="10" fillId="36" borderId="28" xfId="56" applyNumberFormat="1" applyFont="1" applyFill="1" applyBorder="1" applyAlignment="1">
      <alignment horizontal="right" vertical="center" wrapText="1"/>
      <protection/>
    </xf>
    <xf numFmtId="3" fontId="5" fillId="0" borderId="86" xfId="56" applyNumberFormat="1" applyFont="1" applyFill="1" applyBorder="1" applyAlignment="1">
      <alignment horizontal="center" vertical="center" wrapText="1"/>
      <protection/>
    </xf>
    <xf numFmtId="3" fontId="5" fillId="0" borderId="57" xfId="56" applyNumberFormat="1" applyFont="1" applyFill="1" applyBorder="1" applyAlignment="1">
      <alignment horizontal="center" vertical="center" wrapText="1"/>
      <protection/>
    </xf>
    <xf numFmtId="3" fontId="5" fillId="0" borderId="58" xfId="56" applyNumberFormat="1" applyFont="1" applyFill="1" applyBorder="1" applyAlignment="1">
      <alignment horizontal="center" vertical="center" wrapText="1"/>
      <protection/>
    </xf>
    <xf numFmtId="0" fontId="7" fillId="0" borderId="152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56" xfId="0" applyFont="1" applyFill="1" applyBorder="1" applyAlignment="1">
      <alignment horizontal="center" vertical="center" wrapText="1"/>
    </xf>
    <xf numFmtId="0" fontId="7" fillId="0" borderId="157" xfId="0" applyFont="1" applyFill="1" applyBorder="1" applyAlignment="1">
      <alignment horizontal="center" vertical="center" wrapText="1"/>
    </xf>
    <xf numFmtId="0" fontId="7" fillId="0" borderId="158" xfId="0" applyFont="1" applyFill="1" applyBorder="1" applyAlignment="1">
      <alignment horizontal="center" vertical="center" wrapText="1"/>
    </xf>
    <xf numFmtId="0" fontId="7" fillId="0" borderId="159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" fontId="7" fillId="0" borderId="68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3" fillId="0" borderId="152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1" fillId="0" borderId="160" xfId="0" applyFont="1" applyBorder="1" applyAlignment="1">
      <alignment horizontal="center" vertical="center"/>
    </xf>
    <xf numFmtId="0" fontId="11" fillId="0" borderId="149" xfId="0" applyFont="1" applyBorder="1" applyAlignment="1">
      <alignment horizontal="center" vertical="center"/>
    </xf>
    <xf numFmtId="0" fontId="11" fillId="0" borderId="150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10" fillId="36" borderId="161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4" fontId="68" fillId="0" borderId="152" xfId="0" applyNumberFormat="1" applyFont="1" applyBorder="1" applyAlignment="1">
      <alignment horizontal="center" vertical="center" wrapText="1"/>
    </xf>
    <xf numFmtId="4" fontId="68" fillId="0" borderId="85" xfId="0" applyNumberFormat="1" applyFont="1" applyBorder="1" applyAlignment="1">
      <alignment horizontal="center" vertical="center" wrapText="1"/>
    </xf>
    <xf numFmtId="4" fontId="68" fillId="0" borderId="135" xfId="0" applyNumberFormat="1" applyFont="1" applyBorder="1" applyAlignment="1">
      <alignment horizontal="center" vertical="center" wrapText="1"/>
    </xf>
    <xf numFmtId="4" fontId="68" fillId="0" borderId="153" xfId="0" applyNumberFormat="1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4" fontId="68" fillId="0" borderId="64" xfId="0" applyNumberFormat="1" applyFont="1" applyBorder="1" applyAlignment="1">
      <alignment horizontal="center" vertical="center" wrapText="1"/>
    </xf>
    <xf numFmtId="4" fontId="68" fillId="0" borderId="154" xfId="0" applyNumberFormat="1" applyFont="1" applyBorder="1" applyAlignment="1">
      <alignment horizontal="center" vertical="center" wrapText="1"/>
    </xf>
    <xf numFmtId="4" fontId="68" fillId="0" borderId="155" xfId="0" applyNumberFormat="1" applyFont="1" applyBorder="1" applyAlignment="1">
      <alignment horizontal="center" vertical="center" wrapText="1"/>
    </xf>
    <xf numFmtId="4" fontId="68" fillId="0" borderId="82" xfId="0" applyNumberFormat="1" applyFont="1" applyBorder="1" applyAlignment="1">
      <alignment horizontal="center" vertical="center" wrapText="1"/>
    </xf>
    <xf numFmtId="1" fontId="79" fillId="0" borderId="162" xfId="0" applyNumberFormat="1" applyFont="1" applyBorder="1" applyAlignment="1">
      <alignment horizontal="center" vertical="center" wrapText="1"/>
    </xf>
    <xf numFmtId="0" fontId="13" fillId="0" borderId="163" xfId="0" applyFont="1" applyBorder="1" applyAlignment="1">
      <alignment/>
    </xf>
    <xf numFmtId="0" fontId="13" fillId="0" borderId="164" xfId="0" applyFont="1" applyBorder="1" applyAlignment="1">
      <alignment/>
    </xf>
    <xf numFmtId="0" fontId="65" fillId="0" borderId="0" xfId="0" applyFont="1" applyAlignment="1">
      <alignment horizontal="center"/>
    </xf>
    <xf numFmtId="0" fontId="69" fillId="38" borderId="32" xfId="0" applyFont="1" applyFill="1" applyBorder="1" applyAlignment="1">
      <alignment horizontal="center" vertical="center"/>
    </xf>
    <xf numFmtId="0" fontId="69" fillId="38" borderId="17" xfId="0" applyFont="1" applyFill="1" applyBorder="1" applyAlignment="1">
      <alignment horizontal="center" vertical="center"/>
    </xf>
    <xf numFmtId="171" fontId="66" fillId="38" borderId="131" xfId="0" applyNumberFormat="1" applyFont="1" applyFill="1" applyBorder="1" applyAlignment="1">
      <alignment horizontal="center" vertical="center"/>
    </xf>
    <xf numFmtId="171" fontId="66" fillId="38" borderId="66" xfId="0" applyNumberFormat="1" applyFont="1" applyFill="1" applyBorder="1" applyAlignment="1">
      <alignment horizontal="center" vertical="center"/>
    </xf>
    <xf numFmtId="169" fontId="66" fillId="38" borderId="20" xfId="0" applyNumberFormat="1" applyFont="1" applyFill="1" applyBorder="1" applyAlignment="1">
      <alignment horizontal="center" vertical="center"/>
    </xf>
    <xf numFmtId="0" fontId="69" fillId="39" borderId="22" xfId="0" applyFont="1" applyFill="1" applyBorder="1" applyAlignment="1">
      <alignment horizontal="right" vertical="center"/>
    </xf>
    <xf numFmtId="0" fontId="69" fillId="39" borderId="44" xfId="0" applyFont="1" applyFill="1" applyBorder="1" applyAlignment="1">
      <alignment horizontal="right" vertical="center"/>
    </xf>
    <xf numFmtId="0" fontId="69" fillId="39" borderId="19" xfId="0" applyFont="1" applyFill="1" applyBorder="1" applyAlignment="1">
      <alignment horizontal="right" vertical="center"/>
    </xf>
    <xf numFmtId="0" fontId="66" fillId="38" borderId="47" xfId="0" applyFont="1" applyFill="1" applyBorder="1" applyAlignment="1">
      <alignment horizontal="left" vertical="center"/>
    </xf>
    <xf numFmtId="0" fontId="66" fillId="38" borderId="136" xfId="0" applyFont="1" applyFill="1" applyBorder="1" applyAlignment="1">
      <alignment horizontal="left" vertical="center"/>
    </xf>
    <xf numFmtId="0" fontId="66" fillId="38" borderId="48" xfId="0" applyFont="1" applyFill="1" applyBorder="1" applyAlignment="1">
      <alignment horizontal="left" vertical="center"/>
    </xf>
    <xf numFmtId="168" fontId="66" fillId="38" borderId="56" xfId="0" applyNumberFormat="1" applyFont="1" applyFill="1" applyBorder="1" applyAlignment="1">
      <alignment horizontal="center" vertical="center"/>
    </xf>
    <xf numFmtId="168" fontId="66" fillId="38" borderId="57" xfId="0" applyNumberFormat="1" applyFont="1" applyFill="1" applyBorder="1" applyAlignment="1">
      <alignment horizontal="center" vertical="center"/>
    </xf>
    <xf numFmtId="178" fontId="66" fillId="38" borderId="105" xfId="0" applyNumberFormat="1" applyFont="1" applyFill="1" applyBorder="1" applyAlignment="1">
      <alignment horizontal="center" vertical="center"/>
    </xf>
    <xf numFmtId="178" fontId="66" fillId="38" borderId="29" xfId="0" applyNumberFormat="1" applyFont="1" applyFill="1" applyBorder="1" applyAlignment="1">
      <alignment horizontal="center" vertical="center"/>
    </xf>
    <xf numFmtId="0" fontId="5" fillId="38" borderId="157" xfId="57" applyFont="1" applyFill="1" applyBorder="1" applyAlignment="1">
      <alignment horizontal="center" vertical="center"/>
      <protection/>
    </xf>
    <xf numFmtId="0" fontId="5" fillId="38" borderId="30" xfId="57" applyFont="1" applyFill="1" applyBorder="1" applyAlignment="1">
      <alignment horizontal="center" vertical="center"/>
      <protection/>
    </xf>
    <xf numFmtId="0" fontId="5" fillId="38" borderId="50" xfId="57" applyFont="1" applyFill="1" applyBorder="1" applyAlignment="1">
      <alignment horizontal="center" vertical="center"/>
      <protection/>
    </xf>
    <xf numFmtId="0" fontId="5" fillId="38" borderId="55" xfId="57" applyFont="1" applyFill="1" applyBorder="1" applyAlignment="1">
      <alignment horizontal="center" vertical="center"/>
      <protection/>
    </xf>
    <xf numFmtId="0" fontId="5" fillId="38" borderId="19" xfId="57" applyFont="1" applyFill="1" applyBorder="1" applyAlignment="1">
      <alignment horizontal="center" vertical="center"/>
      <protection/>
    </xf>
    <xf numFmtId="0" fontId="69" fillId="38" borderId="55" xfId="0" applyFont="1" applyFill="1" applyBorder="1" applyAlignment="1">
      <alignment horizontal="center" vertical="center"/>
    </xf>
    <xf numFmtId="0" fontId="69" fillId="38" borderId="19" xfId="0" applyFont="1" applyFill="1" applyBorder="1" applyAlignment="1">
      <alignment horizontal="center" vertical="center"/>
    </xf>
    <xf numFmtId="168" fontId="66" fillId="38" borderId="105" xfId="0" applyNumberFormat="1" applyFont="1" applyFill="1" applyBorder="1" applyAlignment="1">
      <alignment horizontal="center" vertical="center"/>
    </xf>
    <xf numFmtId="168" fontId="66" fillId="38" borderId="104" xfId="0" applyNumberFormat="1" applyFont="1" applyFill="1" applyBorder="1" applyAlignment="1">
      <alignment horizontal="center" vertical="center"/>
    </xf>
    <xf numFmtId="168" fontId="66" fillId="38" borderId="29" xfId="0" applyNumberFormat="1" applyFont="1" applyFill="1" applyBorder="1" applyAlignment="1">
      <alignment horizontal="center" vertical="center"/>
    </xf>
    <xf numFmtId="4" fontId="66" fillId="38" borderId="105" xfId="0" applyNumberFormat="1" applyFont="1" applyFill="1" applyBorder="1" applyAlignment="1">
      <alignment horizontal="center" vertical="center"/>
    </xf>
    <xf numFmtId="4" fontId="66" fillId="38" borderId="29" xfId="0" applyNumberFormat="1" applyFont="1" applyFill="1" applyBorder="1" applyAlignment="1">
      <alignment horizontal="center" vertical="center"/>
    </xf>
    <xf numFmtId="168" fontId="66" fillId="0" borderId="105" xfId="0" applyNumberFormat="1" applyFont="1" applyBorder="1" applyAlignment="1">
      <alignment horizontal="center" vertical="center"/>
    </xf>
    <xf numFmtId="168" fontId="66" fillId="0" borderId="104" xfId="0" applyNumberFormat="1" applyFont="1" applyBorder="1" applyAlignment="1">
      <alignment horizontal="center" vertical="center"/>
    </xf>
    <xf numFmtId="168" fontId="66" fillId="0" borderId="29" xfId="0" applyNumberFormat="1" applyFont="1" applyBorder="1" applyAlignment="1">
      <alignment horizontal="center" vertical="center"/>
    </xf>
    <xf numFmtId="0" fontId="69" fillId="39" borderId="86" xfId="0" applyFont="1" applyFill="1" applyBorder="1" applyAlignment="1">
      <alignment horizontal="right" vertical="center"/>
    </xf>
    <xf numFmtId="0" fontId="69" fillId="39" borderId="57" xfId="0" applyFont="1" applyFill="1" applyBorder="1" applyAlignment="1">
      <alignment horizontal="right" vertical="center"/>
    </xf>
    <xf numFmtId="0" fontId="69" fillId="38" borderId="56" xfId="0" applyFont="1" applyFill="1" applyBorder="1" applyAlignment="1">
      <alignment horizontal="center" vertical="center" wrapText="1"/>
    </xf>
    <xf numFmtId="0" fontId="69" fillId="38" borderId="44" xfId="0" applyFont="1" applyFill="1" applyBorder="1" applyAlignment="1">
      <alignment horizontal="center" vertical="center" wrapText="1"/>
    </xf>
    <xf numFmtId="0" fontId="69" fillId="0" borderId="86" xfId="0" applyFont="1" applyBorder="1" applyAlignment="1">
      <alignment horizontal="right" vertical="center"/>
    </xf>
    <xf numFmtId="0" fontId="69" fillId="0" borderId="57" xfId="0" applyFont="1" applyBorder="1" applyAlignment="1">
      <alignment horizontal="right" vertical="center"/>
    </xf>
    <xf numFmtId="0" fontId="69" fillId="0" borderId="22" xfId="0" applyFont="1" applyBorder="1" applyAlignment="1">
      <alignment horizontal="right" vertical="center"/>
    </xf>
    <xf numFmtId="0" fontId="69" fillId="0" borderId="44" xfId="0" applyFont="1" applyBorder="1" applyAlignment="1">
      <alignment horizontal="right" vertical="center"/>
    </xf>
    <xf numFmtId="0" fontId="69" fillId="0" borderId="19" xfId="0" applyFont="1" applyBorder="1" applyAlignment="1">
      <alignment horizontal="right" vertical="center"/>
    </xf>
    <xf numFmtId="176" fontId="68" fillId="0" borderId="165" xfId="0" applyNumberFormat="1" applyFont="1" applyBorder="1" applyAlignment="1">
      <alignment horizontal="left" vertical="center" wrapText="1"/>
    </xf>
    <xf numFmtId="176" fontId="68" fillId="0" borderId="145" xfId="0" applyNumberFormat="1" applyFont="1" applyBorder="1" applyAlignment="1">
      <alignment horizontal="left" vertical="center" wrapText="1"/>
    </xf>
    <xf numFmtId="176" fontId="68" fillId="0" borderId="61" xfId="0" applyNumberFormat="1" applyFont="1" applyBorder="1" applyAlignment="1">
      <alignment horizontal="left" vertical="center" wrapText="1"/>
    </xf>
    <xf numFmtId="0" fontId="69" fillId="38" borderId="148" xfId="0" applyFont="1" applyFill="1" applyBorder="1" applyAlignment="1">
      <alignment horizontal="right" vertical="center"/>
    </xf>
    <xf numFmtId="0" fontId="69" fillId="38" borderId="46" xfId="0" applyFont="1" applyFill="1" applyBorder="1" applyAlignment="1">
      <alignment horizontal="right" vertical="center"/>
    </xf>
    <xf numFmtId="0" fontId="69" fillId="38" borderId="166" xfId="0" applyFont="1" applyFill="1" applyBorder="1" applyAlignment="1">
      <alignment horizontal="center" vertical="center"/>
    </xf>
    <xf numFmtId="0" fontId="69" fillId="38" borderId="46" xfId="0" applyFont="1" applyFill="1" applyBorder="1" applyAlignment="1">
      <alignment horizontal="center" vertical="center"/>
    </xf>
    <xf numFmtId="177" fontId="69" fillId="0" borderId="166" xfId="0" applyNumberFormat="1" applyFont="1" applyBorder="1" applyAlignment="1">
      <alignment horizontal="center" vertical="center" wrapText="1"/>
    </xf>
    <xf numFmtId="177" fontId="69" fillId="0" borderId="84" xfId="0" applyNumberFormat="1" applyFont="1" applyBorder="1" applyAlignment="1">
      <alignment horizontal="center" vertical="center" wrapText="1"/>
    </xf>
    <xf numFmtId="0" fontId="5" fillId="38" borderId="156" xfId="57" applyFont="1" applyFill="1" applyBorder="1" applyAlignment="1">
      <alignment horizontal="center" vertical="center"/>
      <protection/>
    </xf>
    <xf numFmtId="0" fontId="5" fillId="38" borderId="49" xfId="57" applyFont="1" applyFill="1" applyBorder="1" applyAlignment="1">
      <alignment horizontal="center" vertical="center"/>
      <protection/>
    </xf>
    <xf numFmtId="0" fontId="5" fillId="38" borderId="49" xfId="57" applyFont="1" applyFill="1" applyBorder="1" applyAlignment="1">
      <alignment horizontal="center" vertical="center" wrapText="1"/>
      <protection/>
    </xf>
    <xf numFmtId="0" fontId="5" fillId="38" borderId="55" xfId="57" applyFont="1" applyFill="1" applyBorder="1" applyAlignment="1">
      <alignment horizontal="center" vertical="center" wrapText="1"/>
      <protection/>
    </xf>
    <xf numFmtId="0" fontId="69" fillId="38" borderId="165" xfId="0" applyFont="1" applyFill="1" applyBorder="1" applyAlignment="1">
      <alignment horizontal="center" vertical="center"/>
    </xf>
    <xf numFmtId="0" fontId="69" fillId="38" borderId="145" xfId="0" applyFont="1" applyFill="1" applyBorder="1" applyAlignment="1">
      <alignment horizontal="center" vertical="center"/>
    </xf>
    <xf numFmtId="0" fontId="69" fillId="38" borderId="39" xfId="0" applyFont="1" applyFill="1" applyBorder="1" applyAlignment="1">
      <alignment horizontal="center" vertical="center"/>
    </xf>
    <xf numFmtId="0" fontId="69" fillId="38" borderId="61" xfId="0" applyFont="1" applyFill="1" applyBorder="1" applyAlignment="1">
      <alignment horizontal="center" vertical="center"/>
    </xf>
    <xf numFmtId="4" fontId="66" fillId="38" borderId="131" xfId="0" applyNumberFormat="1" applyFont="1" applyFill="1" applyBorder="1" applyAlignment="1">
      <alignment horizontal="center" vertical="center"/>
    </xf>
    <xf numFmtId="4" fontId="66" fillId="38" borderId="66" xfId="0" applyNumberFormat="1" applyFont="1" applyFill="1" applyBorder="1" applyAlignment="1">
      <alignment horizontal="center" vertical="center"/>
    </xf>
    <xf numFmtId="168" fontId="66" fillId="38" borderId="44" xfId="0" applyNumberFormat="1" applyFont="1" applyFill="1" applyBorder="1" applyAlignment="1">
      <alignment horizontal="center" vertical="center"/>
    </xf>
    <xf numFmtId="2" fontId="66" fillId="38" borderId="56" xfId="0" applyNumberFormat="1" applyFont="1" applyFill="1" applyBorder="1" applyAlignment="1">
      <alignment horizontal="center" vertical="center"/>
    </xf>
    <xf numFmtId="2" fontId="66" fillId="38" borderId="44" xfId="0" applyNumberFormat="1" applyFont="1" applyFill="1" applyBorder="1" applyAlignment="1">
      <alignment horizontal="center" vertical="center"/>
    </xf>
    <xf numFmtId="0" fontId="69" fillId="38" borderId="22" xfId="0" applyFont="1" applyFill="1" applyBorder="1" applyAlignment="1">
      <alignment horizontal="right" vertical="center"/>
    </xf>
    <xf numFmtId="0" fontId="69" fillId="38" borderId="44" xfId="0" applyFont="1" applyFill="1" applyBorder="1" applyAlignment="1">
      <alignment horizontal="right" vertical="center"/>
    </xf>
    <xf numFmtId="0" fontId="69" fillId="38" borderId="19" xfId="0" applyFont="1" applyFill="1" applyBorder="1" applyAlignment="1">
      <alignment horizontal="right" vertical="center"/>
    </xf>
    <xf numFmtId="2" fontId="66" fillId="38" borderId="42" xfId="0" applyNumberFormat="1" applyFont="1" applyFill="1" applyBorder="1" applyAlignment="1">
      <alignment horizontal="center" vertical="center"/>
    </xf>
    <xf numFmtId="2" fontId="66" fillId="38" borderId="130" xfId="0" applyNumberFormat="1" applyFont="1" applyFill="1" applyBorder="1" applyAlignment="1">
      <alignment horizontal="center" vertical="center"/>
    </xf>
    <xf numFmtId="2" fontId="66" fillId="38" borderId="67" xfId="0" applyNumberFormat="1" applyFont="1" applyFill="1" applyBorder="1" applyAlignment="1">
      <alignment horizontal="center" vertical="center"/>
    </xf>
    <xf numFmtId="0" fontId="69" fillId="38" borderId="86" xfId="0" applyFont="1" applyFill="1" applyBorder="1" applyAlignment="1">
      <alignment horizontal="right" vertical="center"/>
    </xf>
    <xf numFmtId="0" fontId="69" fillId="38" borderId="57" xfId="0" applyFont="1" applyFill="1" applyBorder="1" applyAlignment="1">
      <alignment horizontal="right" vertical="center"/>
    </xf>
    <xf numFmtId="176" fontId="68" fillId="38" borderId="165" xfId="0" applyNumberFormat="1" applyFont="1" applyFill="1" applyBorder="1" applyAlignment="1">
      <alignment horizontal="left" vertical="center" wrapText="1"/>
    </xf>
    <xf numFmtId="176" fontId="68" fillId="38" borderId="145" xfId="0" applyNumberFormat="1" applyFont="1" applyFill="1" applyBorder="1" applyAlignment="1">
      <alignment horizontal="left" vertical="center" wrapText="1"/>
    </xf>
    <xf numFmtId="176" fontId="68" fillId="38" borderId="61" xfId="0" applyNumberFormat="1" applyFont="1" applyFill="1" applyBorder="1" applyAlignment="1">
      <alignment horizontal="left" vertical="center" wrapText="1"/>
    </xf>
    <xf numFmtId="0" fontId="66" fillId="38" borderId="26" xfId="0" applyFont="1" applyFill="1" applyBorder="1" applyAlignment="1">
      <alignment horizontal="left" vertical="center"/>
    </xf>
    <xf numFmtId="0" fontId="66" fillId="38" borderId="104" xfId="0" applyFont="1" applyFill="1" applyBorder="1" applyAlignment="1">
      <alignment horizontal="left" vertical="center"/>
    </xf>
    <xf numFmtId="10" fontId="66" fillId="38" borderId="104" xfId="0" applyNumberFormat="1" applyFont="1" applyFill="1" applyBorder="1" applyAlignment="1">
      <alignment horizontal="center" vertical="center"/>
    </xf>
    <xf numFmtId="10" fontId="66" fillId="38" borderId="29" xfId="0" applyNumberFormat="1" applyFont="1" applyFill="1" applyBorder="1" applyAlignment="1">
      <alignment horizontal="center" vertical="center"/>
    </xf>
    <xf numFmtId="168" fontId="66" fillId="0" borderId="105" xfId="0" applyNumberFormat="1" applyFont="1" applyFill="1" applyBorder="1" applyAlignment="1">
      <alignment horizontal="center" vertical="center"/>
    </xf>
    <xf numFmtId="168" fontId="66" fillId="0" borderId="104" xfId="0" applyNumberFormat="1" applyFont="1" applyFill="1" applyBorder="1" applyAlignment="1">
      <alignment horizontal="center" vertical="center"/>
    </xf>
    <xf numFmtId="168" fontId="66" fillId="0" borderId="29" xfId="0" applyNumberFormat="1" applyFont="1" applyFill="1" applyBorder="1" applyAlignment="1">
      <alignment horizontal="center" vertical="center"/>
    </xf>
    <xf numFmtId="177" fontId="69" fillId="0" borderId="166" xfId="0" applyNumberFormat="1" applyFont="1" applyFill="1" applyBorder="1" applyAlignment="1">
      <alignment horizontal="center" vertical="center" wrapText="1"/>
    </xf>
    <xf numFmtId="177" fontId="69" fillId="0" borderId="84" xfId="0" applyNumberFormat="1" applyFont="1" applyFill="1" applyBorder="1" applyAlignment="1">
      <alignment horizontal="center" vertical="center" wrapText="1"/>
    </xf>
    <xf numFmtId="0" fontId="69" fillId="38" borderId="159" xfId="0" applyFont="1" applyFill="1" applyBorder="1" applyAlignment="1">
      <alignment horizontal="left" vertical="center"/>
    </xf>
    <xf numFmtId="0" fontId="69" fillId="38" borderId="72" xfId="0" applyFont="1" applyFill="1" applyBorder="1" applyAlignment="1">
      <alignment horizontal="left" vertical="center"/>
    </xf>
    <xf numFmtId="0" fontId="69" fillId="38" borderId="69" xfId="0" applyFont="1" applyFill="1" applyBorder="1" applyAlignment="1">
      <alignment horizontal="left" vertical="center"/>
    </xf>
    <xf numFmtId="0" fontId="66" fillId="38" borderId="167" xfId="0" applyFont="1" applyFill="1" applyBorder="1" applyAlignment="1">
      <alignment horizontal="left" vertical="center"/>
    </xf>
    <xf numFmtId="0" fontId="66" fillId="38" borderId="168" xfId="0" applyFont="1" applyFill="1" applyBorder="1" applyAlignment="1">
      <alignment horizontal="left" vertical="center"/>
    </xf>
    <xf numFmtId="0" fontId="66" fillId="38" borderId="68" xfId="0" applyFont="1" applyFill="1" applyBorder="1" applyAlignment="1">
      <alignment horizontal="left" vertical="center"/>
    </xf>
    <xf numFmtId="168" fontId="66" fillId="38" borderId="130" xfId="0" applyNumberFormat="1" applyFont="1" applyFill="1" applyBorder="1" applyAlignment="1">
      <alignment horizontal="center" vertical="center"/>
    </xf>
    <xf numFmtId="168" fontId="66" fillId="38" borderId="132" xfId="0" applyNumberFormat="1" applyFont="1" applyFill="1" applyBorder="1" applyAlignment="1">
      <alignment horizontal="center" vertical="center"/>
    </xf>
    <xf numFmtId="168" fontId="66" fillId="38" borderId="16" xfId="0" applyNumberFormat="1" applyFont="1" applyFill="1" applyBorder="1" applyAlignment="1">
      <alignment horizontal="center" vertical="center"/>
    </xf>
    <xf numFmtId="0" fontId="69" fillId="0" borderId="148" xfId="0" applyFont="1" applyFill="1" applyBorder="1" applyAlignment="1">
      <alignment horizontal="right" vertical="center"/>
    </xf>
    <xf numFmtId="0" fontId="69" fillId="0" borderId="46" xfId="0" applyFont="1" applyFill="1" applyBorder="1" applyAlignment="1">
      <alignment horizontal="right" vertical="center"/>
    </xf>
    <xf numFmtId="204" fontId="5" fillId="38" borderId="55" xfId="57" applyNumberFormat="1" applyFont="1" applyFill="1" applyBorder="1" applyAlignment="1">
      <alignment horizontal="center" vertical="center"/>
      <protection/>
    </xf>
    <xf numFmtId="0" fontId="5" fillId="0" borderId="156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49" xfId="57" applyFont="1" applyBorder="1" applyAlignment="1">
      <alignment horizontal="center" vertical="center"/>
      <protection/>
    </xf>
    <xf numFmtId="0" fontId="5" fillId="0" borderId="55" xfId="57" applyFont="1" applyBorder="1" applyAlignment="1">
      <alignment horizontal="center" vertical="center"/>
      <protection/>
    </xf>
    <xf numFmtId="0" fontId="5" fillId="0" borderId="49" xfId="57" applyFont="1" applyBorder="1" applyAlignment="1">
      <alignment horizontal="center" vertical="center" wrapText="1"/>
      <protection/>
    </xf>
    <xf numFmtId="0" fontId="5" fillId="0" borderId="55" xfId="57" applyFont="1" applyBorder="1" applyAlignment="1">
      <alignment horizontal="center" vertical="center" wrapText="1"/>
      <protection/>
    </xf>
    <xf numFmtId="0" fontId="69" fillId="0" borderId="165" xfId="0" applyFont="1" applyBorder="1" applyAlignment="1">
      <alignment horizontal="center" vertical="center"/>
    </xf>
    <xf numFmtId="0" fontId="69" fillId="0" borderId="145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69" fillId="0" borderId="148" xfId="0" applyFont="1" applyBorder="1" applyAlignment="1">
      <alignment horizontal="right" vertical="center"/>
    </xf>
    <xf numFmtId="0" fontId="69" fillId="0" borderId="46" xfId="0" applyFont="1" applyBorder="1" applyAlignment="1">
      <alignment horizontal="right" vertical="center"/>
    </xf>
    <xf numFmtId="0" fontId="69" fillId="0" borderId="166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2" fontId="66" fillId="38" borderId="16" xfId="0" applyNumberFormat="1" applyFont="1" applyFill="1" applyBorder="1" applyAlignment="1">
      <alignment horizontal="center" vertical="center"/>
    </xf>
    <xf numFmtId="168" fontId="66" fillId="38" borderId="131" xfId="0" applyNumberFormat="1" applyFont="1" applyFill="1" applyBorder="1" applyAlignment="1">
      <alignment horizontal="center" vertical="center"/>
    </xf>
    <xf numFmtId="168" fontId="66" fillId="38" borderId="134" xfId="0" applyNumberFormat="1" applyFont="1" applyFill="1" applyBorder="1" applyAlignment="1">
      <alignment horizontal="center" vertical="center"/>
    </xf>
    <xf numFmtId="4" fontId="66" fillId="38" borderId="130" xfId="0" applyNumberFormat="1" applyFont="1" applyFill="1" applyBorder="1" applyAlignment="1">
      <alignment horizontal="center" vertical="center"/>
    </xf>
    <xf numFmtId="4" fontId="66" fillId="38" borderId="67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156" xfId="0" applyFont="1" applyBorder="1" applyAlignment="1">
      <alignment horizontal="center" vertical="center"/>
    </xf>
    <xf numFmtId="0" fontId="66" fillId="0" borderId="157" xfId="0" applyFont="1" applyBorder="1" applyAlignment="1">
      <alignment horizontal="center" vertical="center"/>
    </xf>
    <xf numFmtId="0" fontId="66" fillId="0" borderId="158" xfId="0" applyFont="1" applyBorder="1" applyAlignment="1">
      <alignment horizontal="center" vertical="center"/>
    </xf>
    <xf numFmtId="4" fontId="66" fillId="0" borderId="49" xfId="0" applyNumberFormat="1" applyFont="1" applyBorder="1" applyAlignment="1">
      <alignment horizontal="center" vertical="center" wrapText="1"/>
    </xf>
    <xf numFmtId="4" fontId="66" fillId="0" borderId="50" xfId="0" applyNumberFormat="1" applyFont="1" applyBorder="1" applyAlignment="1">
      <alignment horizontal="center" vertical="center" wrapText="1"/>
    </xf>
    <xf numFmtId="4" fontId="66" fillId="0" borderId="54" xfId="0" applyNumberFormat="1" applyFont="1" applyBorder="1" applyAlignment="1">
      <alignment horizontal="center" vertical="center" wrapText="1"/>
    </xf>
    <xf numFmtId="0" fontId="66" fillId="0" borderId="167" xfId="0" applyFont="1" applyBorder="1" applyAlignment="1">
      <alignment horizontal="center" vertical="center"/>
    </xf>
    <xf numFmtId="0" fontId="66" fillId="0" borderId="159" xfId="0" applyFont="1" applyBorder="1" applyAlignment="1">
      <alignment horizontal="center" vertical="center"/>
    </xf>
    <xf numFmtId="4" fontId="66" fillId="0" borderId="68" xfId="0" applyNumberFormat="1" applyFont="1" applyBorder="1" applyAlignment="1">
      <alignment horizontal="center" vertical="center" wrapText="1"/>
    </xf>
    <xf numFmtId="4" fontId="66" fillId="0" borderId="69" xfId="0" applyNumberFormat="1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 wrapText="1"/>
    </xf>
    <xf numFmtId="0" fontId="66" fillId="0" borderId="101" xfId="0" applyFont="1" applyBorder="1" applyAlignment="1">
      <alignment horizontal="center" vertical="center" wrapText="1"/>
    </xf>
    <xf numFmtId="181" fontId="66" fillId="0" borderId="52" xfId="0" applyNumberFormat="1" applyFont="1" applyBorder="1" applyAlignment="1">
      <alignment horizontal="center" vertical="center" wrapText="1"/>
    </xf>
    <xf numFmtId="181" fontId="66" fillId="0" borderId="55" xfId="0" applyNumberFormat="1" applyFont="1" applyBorder="1" applyAlignment="1">
      <alignment horizontal="center" vertical="center" wrapText="1"/>
    </xf>
    <xf numFmtId="181" fontId="66" fillId="0" borderId="42" xfId="0" applyNumberFormat="1" applyFont="1" applyBorder="1" applyAlignment="1">
      <alignment horizontal="center" vertical="center" wrapText="1"/>
    </xf>
    <xf numFmtId="181" fontId="66" fillId="0" borderId="16" xfId="0" applyNumberFormat="1" applyFont="1" applyBorder="1" applyAlignment="1">
      <alignment horizontal="center" vertical="center" wrapText="1"/>
    </xf>
    <xf numFmtId="181" fontId="66" fillId="0" borderId="69" xfId="0" applyNumberFormat="1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71" xfId="0" applyFont="1" applyBorder="1" applyAlignment="1">
      <alignment horizontal="center" vertical="center" wrapText="1"/>
    </xf>
    <xf numFmtId="181" fontId="66" fillId="0" borderId="50" xfId="0" applyNumberFormat="1" applyFont="1" applyBorder="1" applyAlignment="1">
      <alignment horizontal="center" vertical="center" wrapText="1"/>
    </xf>
    <xf numFmtId="181" fontId="66" fillId="0" borderId="54" xfId="0" applyNumberFormat="1" applyFont="1" applyBorder="1" applyAlignment="1">
      <alignment horizontal="center" vertical="center" wrapText="1"/>
    </xf>
    <xf numFmtId="4" fontId="66" fillId="0" borderId="49" xfId="0" applyNumberFormat="1" applyFont="1" applyBorder="1" applyAlignment="1">
      <alignment horizontal="center" vertical="center"/>
    </xf>
    <xf numFmtId="4" fontId="66" fillId="0" borderId="50" xfId="0" applyNumberFormat="1" applyFont="1" applyBorder="1" applyAlignment="1">
      <alignment horizontal="center" vertical="center"/>
    </xf>
    <xf numFmtId="4" fontId="66" fillId="0" borderId="54" xfId="0" applyNumberFormat="1" applyFont="1" applyBorder="1" applyAlignment="1">
      <alignment horizontal="center" vertical="center"/>
    </xf>
    <xf numFmtId="181" fontId="66" fillId="0" borderId="49" xfId="0" applyNumberFormat="1" applyFont="1" applyBorder="1" applyAlignment="1">
      <alignment horizontal="center" vertical="center" wrapText="1"/>
    </xf>
    <xf numFmtId="4" fontId="66" fillId="0" borderId="52" xfId="0" applyNumberFormat="1" applyFont="1" applyBorder="1" applyAlignment="1">
      <alignment horizontal="center" vertical="center" wrapText="1"/>
    </xf>
    <xf numFmtId="4" fontId="66" fillId="0" borderId="55" xfId="0" applyNumberFormat="1" applyFont="1" applyBorder="1" applyAlignment="1">
      <alignment horizontal="center" vertical="center" wrapText="1"/>
    </xf>
    <xf numFmtId="0" fontId="69" fillId="39" borderId="152" xfId="0" applyFont="1" applyFill="1" applyBorder="1" applyAlignment="1">
      <alignment horizontal="right" vertical="center" wrapText="1"/>
    </xf>
    <xf numFmtId="0" fontId="69" fillId="39" borderId="85" xfId="0" applyFont="1" applyFill="1" applyBorder="1" applyAlignment="1">
      <alignment horizontal="right" vertical="center" wrapText="1"/>
    </xf>
    <xf numFmtId="0" fontId="69" fillId="39" borderId="70" xfId="0" applyFont="1" applyFill="1" applyBorder="1" applyAlignment="1">
      <alignment horizontal="right" vertical="center" wrapText="1"/>
    </xf>
    <xf numFmtId="0" fontId="69" fillId="39" borderId="154" xfId="0" applyFont="1" applyFill="1" applyBorder="1" applyAlignment="1">
      <alignment horizontal="right" vertical="center" wrapText="1"/>
    </xf>
    <xf numFmtId="0" fontId="69" fillId="39" borderId="155" xfId="0" applyFont="1" applyFill="1" applyBorder="1" applyAlignment="1">
      <alignment horizontal="right" vertical="center" wrapText="1"/>
    </xf>
    <xf numFmtId="0" fontId="69" fillId="39" borderId="71" xfId="0" applyFont="1" applyFill="1" applyBorder="1" applyAlignment="1">
      <alignment horizontal="right" vertical="center" wrapText="1"/>
    </xf>
    <xf numFmtId="0" fontId="66" fillId="39" borderId="165" xfId="0" applyFont="1" applyFill="1" applyBorder="1" applyAlignment="1">
      <alignment horizontal="center" vertical="center" wrapText="1"/>
    </xf>
    <xf numFmtId="0" fontId="66" fillId="39" borderId="145" xfId="0" applyFont="1" applyFill="1" applyBorder="1" applyAlignment="1">
      <alignment horizontal="center" vertical="center" wrapText="1"/>
    </xf>
    <xf numFmtId="0" fontId="66" fillId="39" borderId="39" xfId="0" applyFont="1" applyFill="1" applyBorder="1" applyAlignment="1">
      <alignment horizontal="center" vertical="center" wrapText="1"/>
    </xf>
    <xf numFmtId="0" fontId="66" fillId="39" borderId="166" xfId="0" applyFont="1" applyFill="1" applyBorder="1" applyAlignment="1">
      <alignment horizontal="center" vertical="center" wrapText="1"/>
    </xf>
    <xf numFmtId="0" fontId="66" fillId="39" borderId="46" xfId="0" applyFont="1" applyFill="1" applyBorder="1" applyAlignment="1">
      <alignment horizontal="center" vertical="center" wrapText="1"/>
    </xf>
    <xf numFmtId="0" fontId="66" fillId="39" borderId="28" xfId="0" applyFont="1" applyFill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9" fillId="39" borderId="153" xfId="0" applyFont="1" applyFill="1" applyBorder="1" applyAlignment="1">
      <alignment horizontal="right" vertical="center" wrapText="1"/>
    </xf>
    <xf numFmtId="0" fontId="69" fillId="39" borderId="0" xfId="0" applyFont="1" applyFill="1" applyBorder="1" applyAlignment="1">
      <alignment horizontal="right" vertical="center" wrapText="1"/>
    </xf>
    <xf numFmtId="0" fontId="66" fillId="39" borderId="56" xfId="0" applyFont="1" applyFill="1" applyBorder="1" applyAlignment="1">
      <alignment horizontal="center" vertical="center" wrapText="1"/>
    </xf>
    <xf numFmtId="0" fontId="66" fillId="39" borderId="57" xfId="0" applyFont="1" applyFill="1" applyBorder="1" applyAlignment="1">
      <alignment horizontal="center" vertical="center" wrapText="1"/>
    </xf>
    <xf numFmtId="0" fontId="66" fillId="39" borderId="44" xfId="0" applyFont="1" applyFill="1" applyBorder="1" applyAlignment="1">
      <alignment horizontal="center" vertical="center" wrapText="1"/>
    </xf>
    <xf numFmtId="178" fontId="66" fillId="0" borderId="52" xfId="0" applyNumberFormat="1" applyFont="1" applyBorder="1" applyAlignment="1">
      <alignment horizontal="center" vertical="center" wrapText="1"/>
    </xf>
    <xf numFmtId="178" fontId="66" fillId="0" borderId="50" xfId="0" applyNumberFormat="1" applyFont="1" applyBorder="1" applyAlignment="1">
      <alignment horizontal="center" vertical="center" wrapText="1"/>
    </xf>
    <xf numFmtId="178" fontId="66" fillId="0" borderId="55" xfId="0" applyNumberFormat="1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181" fontId="69" fillId="0" borderId="49" xfId="0" applyNumberFormat="1" applyFont="1" applyBorder="1" applyAlignment="1">
      <alignment horizontal="center" vertical="center" wrapText="1"/>
    </xf>
    <xf numFmtId="181" fontId="69" fillId="0" borderId="54" xfId="0" applyNumberFormat="1" applyFont="1" applyBorder="1" applyAlignment="1">
      <alignment horizontal="center" vertical="center" wrapText="1"/>
    </xf>
    <xf numFmtId="4" fontId="66" fillId="0" borderId="49" xfId="0" applyNumberFormat="1" applyFont="1" applyFill="1" applyBorder="1" applyAlignment="1">
      <alignment horizontal="center" vertical="center" wrapText="1"/>
    </xf>
    <xf numFmtId="4" fontId="66" fillId="0" borderId="50" xfId="0" applyNumberFormat="1" applyFont="1" applyFill="1" applyBorder="1" applyAlignment="1">
      <alignment horizontal="center" vertical="center" wrapText="1"/>
    </xf>
    <xf numFmtId="4" fontId="66" fillId="0" borderId="54" xfId="0" applyNumberFormat="1" applyFont="1" applyFill="1" applyBorder="1" applyAlignment="1">
      <alignment horizontal="center" vertical="center" wrapText="1"/>
    </xf>
    <xf numFmtId="170" fontId="69" fillId="0" borderId="49" xfId="0" applyNumberFormat="1" applyFont="1" applyBorder="1" applyAlignment="1">
      <alignment horizontal="center" vertical="center" wrapText="1"/>
    </xf>
    <xf numFmtId="170" fontId="69" fillId="0" borderId="54" xfId="0" applyNumberFormat="1" applyFont="1" applyBorder="1" applyAlignment="1">
      <alignment horizontal="center" vertical="center" wrapText="1"/>
    </xf>
    <xf numFmtId="168" fontId="69" fillId="0" borderId="60" xfId="0" applyNumberFormat="1" applyFont="1" applyBorder="1" applyAlignment="1">
      <alignment horizontal="center" vertical="center" wrapText="1"/>
    </xf>
    <xf numFmtId="168" fontId="69" fillId="0" borderId="65" xfId="0" applyNumberFormat="1" applyFont="1" applyBorder="1" applyAlignment="1">
      <alignment horizontal="center" vertical="center" wrapText="1"/>
    </xf>
    <xf numFmtId="168" fontId="69" fillId="0" borderId="49" xfId="0" applyNumberFormat="1" applyFont="1" applyBorder="1" applyAlignment="1">
      <alignment horizontal="center" vertical="center" wrapText="1"/>
    </xf>
    <xf numFmtId="168" fontId="69" fillId="0" borderId="54" xfId="0" applyNumberFormat="1" applyFont="1" applyBorder="1" applyAlignment="1">
      <alignment horizontal="center" vertical="center" wrapText="1"/>
    </xf>
    <xf numFmtId="2" fontId="69" fillId="0" borderId="165" xfId="0" applyNumberFormat="1" applyFont="1" applyBorder="1" applyAlignment="1">
      <alignment horizontal="center" vertical="center" wrapText="1"/>
    </xf>
    <xf numFmtId="2" fontId="69" fillId="0" borderId="145" xfId="0" applyNumberFormat="1" applyFont="1" applyBorder="1" applyAlignment="1">
      <alignment horizontal="center" vertical="center" wrapText="1"/>
    </xf>
    <xf numFmtId="2" fontId="69" fillId="0" borderId="39" xfId="0" applyNumberFormat="1" applyFont="1" applyBorder="1" applyAlignment="1">
      <alignment horizontal="center" vertical="center" wrapText="1"/>
    </xf>
    <xf numFmtId="172" fontId="69" fillId="0" borderId="49" xfId="0" applyNumberFormat="1" applyFont="1" applyBorder="1" applyAlignment="1">
      <alignment horizontal="center" vertical="center" wrapText="1"/>
    </xf>
    <xf numFmtId="172" fontId="69" fillId="0" borderId="54" xfId="0" applyNumberFormat="1" applyFont="1" applyBorder="1" applyAlignment="1">
      <alignment horizontal="center" vertical="center" wrapText="1"/>
    </xf>
    <xf numFmtId="174" fontId="66" fillId="0" borderId="52" xfId="0" applyNumberFormat="1" applyFont="1" applyBorder="1" applyAlignment="1">
      <alignment horizontal="center" vertical="center" wrapText="1"/>
    </xf>
    <xf numFmtId="174" fontId="66" fillId="0" borderId="55" xfId="0" applyNumberFormat="1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/>
    </xf>
    <xf numFmtId="0" fontId="69" fillId="0" borderId="74" xfId="0" applyFont="1" applyBorder="1" applyAlignment="1">
      <alignment horizontal="center" vertical="center"/>
    </xf>
    <xf numFmtId="0" fontId="69" fillId="0" borderId="74" xfId="0" applyFont="1" applyFill="1" applyBorder="1" applyAlignment="1">
      <alignment horizontal="center" vertical="center"/>
    </xf>
    <xf numFmtId="0" fontId="69" fillId="0" borderId="75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 wrapText="1"/>
    </xf>
    <xf numFmtId="0" fontId="69" fillId="0" borderId="145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172" fontId="69" fillId="0" borderId="64" xfId="0" applyNumberFormat="1" applyFont="1" applyBorder="1" applyAlignment="1">
      <alignment horizontal="center" vertical="center" wrapText="1"/>
    </xf>
    <xf numFmtId="172" fontId="69" fillId="0" borderId="82" xfId="0" applyNumberFormat="1" applyFont="1" applyBorder="1" applyAlignment="1">
      <alignment horizontal="center" vertical="center" wrapText="1"/>
    </xf>
    <xf numFmtId="174" fontId="66" fillId="0" borderId="50" xfId="0" applyNumberFormat="1" applyFont="1" applyBorder="1" applyAlignment="1">
      <alignment horizontal="center" vertical="center" wrapText="1"/>
    </xf>
    <xf numFmtId="174" fontId="66" fillId="0" borderId="54" xfId="0" applyNumberFormat="1" applyFont="1" applyBorder="1" applyAlignment="1">
      <alignment horizontal="center" vertical="center" wrapText="1"/>
    </xf>
    <xf numFmtId="0" fontId="66" fillId="0" borderId="7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59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168" fontId="66" fillId="0" borderId="42" xfId="0" applyNumberFormat="1" applyFont="1" applyBorder="1" applyAlignment="1">
      <alignment horizontal="center" vertical="center" wrapText="1"/>
    </xf>
    <xf numFmtId="168" fontId="66" fillId="0" borderId="20" xfId="0" applyNumberFormat="1" applyFont="1" applyBorder="1" applyAlignment="1">
      <alignment horizontal="center" vertical="center" wrapText="1"/>
    </xf>
    <xf numFmtId="168" fontId="66" fillId="0" borderId="16" xfId="0" applyNumberFormat="1" applyFont="1" applyBorder="1" applyAlignment="1">
      <alignment horizontal="center" vertical="center" wrapText="1"/>
    </xf>
    <xf numFmtId="168" fontId="66" fillId="0" borderId="43" xfId="0" applyNumberFormat="1" applyFont="1" applyBorder="1" applyAlignment="1">
      <alignment horizontal="center" vertical="center" wrapText="1"/>
    </xf>
    <xf numFmtId="181" fontId="66" fillId="0" borderId="43" xfId="0" applyNumberFormat="1" applyFont="1" applyBorder="1" applyAlignment="1">
      <alignment horizontal="center" vertical="center" wrapText="1"/>
    </xf>
    <xf numFmtId="181" fontId="66" fillId="0" borderId="20" xfId="0" applyNumberFormat="1" applyFont="1" applyBorder="1" applyAlignment="1">
      <alignment horizontal="center" vertical="center" wrapText="1"/>
    </xf>
    <xf numFmtId="181" fontId="66" fillId="0" borderId="101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185" fontId="74" fillId="41" borderId="118" xfId="0" applyNumberFormat="1" applyFont="1" applyFill="1" applyBorder="1" applyAlignment="1">
      <alignment horizontal="center" vertical="center" wrapText="1"/>
    </xf>
    <xf numFmtId="185" fontId="74" fillId="41" borderId="169" xfId="0" applyNumberFormat="1" applyFont="1" applyFill="1" applyBorder="1" applyAlignment="1">
      <alignment horizontal="center" vertical="center" wrapText="1"/>
    </xf>
    <xf numFmtId="185" fontId="74" fillId="41" borderId="117" xfId="0" applyNumberFormat="1" applyFont="1" applyFill="1" applyBorder="1" applyAlignment="1">
      <alignment horizontal="center" vertical="center" wrapText="1"/>
    </xf>
    <xf numFmtId="0" fontId="74" fillId="41" borderId="128" xfId="0" applyFont="1" applyFill="1" applyBorder="1" applyAlignment="1">
      <alignment horizontal="center" vertical="center"/>
    </xf>
    <xf numFmtId="0" fontId="74" fillId="41" borderId="126" xfId="0" applyFont="1" applyFill="1" applyBorder="1" applyAlignment="1">
      <alignment horizontal="center" vertical="center"/>
    </xf>
    <xf numFmtId="0" fontId="74" fillId="41" borderId="127" xfId="0" applyFont="1" applyFill="1" applyBorder="1" applyAlignment="1">
      <alignment horizontal="center" vertical="center"/>
    </xf>
    <xf numFmtId="185" fontId="74" fillId="41" borderId="170" xfId="0" applyNumberFormat="1" applyFont="1" applyFill="1" applyBorder="1" applyAlignment="1">
      <alignment horizontal="center" vertical="center" wrapText="1"/>
    </xf>
    <xf numFmtId="185" fontId="74" fillId="41" borderId="171" xfId="0" applyNumberFormat="1" applyFont="1" applyFill="1" applyBorder="1" applyAlignment="1">
      <alignment horizontal="center" vertical="center" wrapText="1"/>
    </xf>
    <xf numFmtId="185" fontId="74" fillId="0" borderId="118" xfId="0" applyNumberFormat="1" applyFont="1" applyFill="1" applyBorder="1" applyAlignment="1">
      <alignment horizontal="center" vertical="center" wrapText="1"/>
    </xf>
    <xf numFmtId="185" fontId="74" fillId="0" borderId="169" xfId="0" applyNumberFormat="1" applyFont="1" applyFill="1" applyBorder="1" applyAlignment="1">
      <alignment horizontal="center" vertical="center" wrapText="1"/>
    </xf>
    <xf numFmtId="185" fontId="74" fillId="0" borderId="171" xfId="0" applyNumberFormat="1" applyFont="1" applyFill="1" applyBorder="1" applyAlignment="1">
      <alignment horizontal="center" vertical="center" wrapText="1"/>
    </xf>
    <xf numFmtId="185" fontId="74" fillId="0" borderId="170" xfId="0" applyNumberFormat="1" applyFont="1" applyFill="1" applyBorder="1" applyAlignment="1">
      <alignment horizontal="center" vertical="center" wrapText="1"/>
    </xf>
    <xf numFmtId="185" fontId="74" fillId="0" borderId="117" xfId="0" applyNumberFormat="1" applyFont="1" applyFill="1" applyBorder="1" applyAlignment="1">
      <alignment horizontal="center" vertical="center" wrapText="1"/>
    </xf>
    <xf numFmtId="0" fontId="74" fillId="41" borderId="92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98" xfId="0" applyFont="1" applyBorder="1" applyAlignment="1">
      <alignment/>
    </xf>
    <xf numFmtId="185" fontId="74" fillId="41" borderId="172" xfId="0" applyNumberFormat="1" applyFont="1" applyFill="1" applyBorder="1" applyAlignment="1">
      <alignment horizontal="center" vertical="center" wrapText="1"/>
    </xf>
    <xf numFmtId="185" fontId="74" fillId="41" borderId="173" xfId="0" applyNumberFormat="1" applyFont="1" applyFill="1" applyBorder="1" applyAlignment="1">
      <alignment horizontal="center" vertical="center" wrapText="1"/>
    </xf>
    <xf numFmtId="0" fontId="74" fillId="41" borderId="0" xfId="0" applyFont="1" applyFill="1" applyBorder="1" applyAlignment="1">
      <alignment horizontal="center" vertical="center"/>
    </xf>
    <xf numFmtId="0" fontId="74" fillId="41" borderId="98" xfId="0" applyFont="1" applyFill="1" applyBorder="1" applyAlignment="1">
      <alignment horizontal="center" vertical="center"/>
    </xf>
    <xf numFmtId="1" fontId="79" fillId="0" borderId="174" xfId="0" applyNumberFormat="1" applyFont="1" applyBorder="1" applyAlignment="1">
      <alignment horizontal="center" vertical="center" wrapText="1"/>
    </xf>
    <xf numFmtId="0" fontId="13" fillId="0" borderId="175" xfId="0" applyFont="1" applyBorder="1" applyAlignment="1">
      <alignment/>
    </xf>
    <xf numFmtId="0" fontId="13" fillId="0" borderId="176" xfId="0" applyFont="1" applyBorder="1" applyAlignment="1">
      <alignment/>
    </xf>
    <xf numFmtId="0" fontId="68" fillId="41" borderId="128" xfId="0" applyFont="1" applyFill="1" applyBorder="1" applyAlignment="1">
      <alignment horizontal="center" vertical="center"/>
    </xf>
    <xf numFmtId="0" fontId="21" fillId="0" borderId="126" xfId="0" applyFont="1" applyBorder="1" applyAlignment="1">
      <alignment/>
    </xf>
    <xf numFmtId="0" fontId="21" fillId="0" borderId="177" xfId="0" applyFont="1" applyBorder="1" applyAlignment="1">
      <alignment/>
    </xf>
    <xf numFmtId="0" fontId="21" fillId="0" borderId="141" xfId="0" applyFont="1" applyBorder="1" applyAlignment="1">
      <alignment/>
    </xf>
    <xf numFmtId="0" fontId="21" fillId="0" borderId="142" xfId="0" applyFont="1" applyBorder="1" applyAlignment="1">
      <alignment/>
    </xf>
    <xf numFmtId="0" fontId="21" fillId="0" borderId="178" xfId="0" applyFont="1" applyBorder="1" applyAlignment="1">
      <alignment/>
    </xf>
    <xf numFmtId="0" fontId="5" fillId="41" borderId="179" xfId="0" applyFont="1" applyFill="1" applyBorder="1" applyAlignment="1">
      <alignment horizontal="center" vertical="center"/>
    </xf>
    <xf numFmtId="0" fontId="5" fillId="41" borderId="180" xfId="0" applyFont="1" applyFill="1" applyBorder="1" applyAlignment="1">
      <alignment horizontal="center" vertical="center"/>
    </xf>
    <xf numFmtId="0" fontId="21" fillId="0" borderId="127" xfId="0" applyFont="1" applyBorder="1" applyAlignment="1">
      <alignment/>
    </xf>
  </cellXfs>
  <cellStyles count="9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álculo 2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ntrada 2" xfId="45"/>
    <cellStyle name="Hyperlink" xfId="46"/>
    <cellStyle name="Followed Hyperlink" xfId="47"/>
    <cellStyle name="Currency" xfId="48"/>
    <cellStyle name="Currency [0]" xfId="49"/>
    <cellStyle name="Moeda 2" xfId="50"/>
    <cellStyle name="Moeda 2 2" xfId="51"/>
    <cellStyle name="Moeda 3" xfId="52"/>
    <cellStyle name="Neutro" xfId="53"/>
    <cellStyle name="Normal 12" xfId="54"/>
    <cellStyle name="Normal 13" xfId="55"/>
    <cellStyle name="Normal 2" xfId="56"/>
    <cellStyle name="Normal 2 10" xfId="57"/>
    <cellStyle name="Normal 2 2" xfId="58"/>
    <cellStyle name="Normal 22" xfId="59"/>
    <cellStyle name="Normal 26" xfId="60"/>
    <cellStyle name="Normal 29" xfId="61"/>
    <cellStyle name="Normal 3" xfId="62"/>
    <cellStyle name="Normal 3 2" xfId="63"/>
    <cellStyle name="Normal 4" xfId="64"/>
    <cellStyle name="Normal 5" xfId="65"/>
    <cellStyle name="Normal 6" xfId="66"/>
    <cellStyle name="Normal 6 2" xfId="67"/>
    <cellStyle name="Normal 7" xfId="68"/>
    <cellStyle name="Normal 8" xfId="69"/>
    <cellStyle name="Nota" xfId="70"/>
    <cellStyle name="Nota 2" xfId="71"/>
    <cellStyle name="Percent" xfId="72"/>
    <cellStyle name="Porcentagem 13 4" xfId="73"/>
    <cellStyle name="Porcentagem 2" xfId="74"/>
    <cellStyle name="Porcentagem 2 2" xfId="75"/>
    <cellStyle name="Porcentagem 3" xfId="76"/>
    <cellStyle name="Porcentagem 3 2" xfId="77"/>
    <cellStyle name="Porcentagem 5 2" xfId="78"/>
    <cellStyle name="Ruim" xfId="79"/>
    <cellStyle name="Saída" xfId="80"/>
    <cellStyle name="Saída 2" xfId="81"/>
    <cellStyle name="Comma [0]" xfId="82"/>
    <cellStyle name="Separador de milhares 15" xfId="83"/>
    <cellStyle name="Texto de Aviso" xfId="84"/>
    <cellStyle name="Texto de Aviso 2" xfId="85"/>
    <cellStyle name="Texto Explicativo" xfId="86"/>
    <cellStyle name="Texto Explicativo 2" xfId="87"/>
    <cellStyle name="Título" xfId="88"/>
    <cellStyle name="Título 1" xfId="89"/>
    <cellStyle name="Título 1 1" xfId="90"/>
    <cellStyle name="Título 2" xfId="91"/>
    <cellStyle name="Título 3" xfId="92"/>
    <cellStyle name="Título 4" xfId="93"/>
    <cellStyle name="Título 5" xfId="94"/>
    <cellStyle name="Total" xfId="95"/>
    <cellStyle name="Total 2" xfId="96"/>
    <cellStyle name="Comma" xfId="97"/>
    <cellStyle name="Vírgula 2" xfId="98"/>
    <cellStyle name="Vírgula 2 13 3" xfId="99"/>
    <cellStyle name="Vírgula 2 2" xfId="100"/>
    <cellStyle name="Vírgula 2 2 2" xfId="101"/>
    <cellStyle name="Vírgula 3" xfId="102"/>
    <cellStyle name="Vírgula 3 2" xfId="103"/>
    <cellStyle name="Vírgula 3 2 2" xfId="104"/>
  </cellStyles>
  <dxfs count="43">
    <dxf>
      <font>
        <name val="Calibri"/>
        <color rgb="FF008000"/>
      </font>
      <fill>
        <patternFill patternType="solid">
          <fgColor rgb="FFCCFFCC"/>
          <bgColor rgb="FFCCFFCC"/>
        </patternFill>
      </fill>
    </dxf>
    <dxf>
      <font>
        <name val="Calibri"/>
        <color rgb="FF800080"/>
      </font>
      <fill>
        <patternFill patternType="solid">
          <fgColor rgb="FFFF99CC"/>
          <bgColor rgb="FFFF99CC"/>
        </patternFill>
      </fill>
    </dxf>
    <dxf>
      <font>
        <name val="Calibri"/>
        <color rgb="FF993300"/>
      </font>
      <fill>
        <patternFill patternType="solid">
          <fgColor rgb="FFFFFF99"/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  <dxf>
      <font>
        <color rgb="FF993300"/>
      </font>
      <fill>
        <patternFill patternType="solid">
          <fgColor rgb="FFFFFF99"/>
          <bgColor rgb="FFFFFF99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008000"/>
      </font>
      <fill>
        <patternFill patternType="solid">
          <fgColor rgb="FFCCFFCC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0</xdr:col>
      <xdr:colOff>619125</xdr:colOff>
      <xdr:row>0</xdr:row>
      <xdr:rowOff>742950</xdr:rowOff>
    </xdr:to>
    <xdr:pic>
      <xdr:nvPicPr>
        <xdr:cNvPr id="1" name="Imagem 3" descr="Serviços On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0</xdr:row>
      <xdr:rowOff>238125</xdr:rowOff>
    </xdr:from>
    <xdr:to>
      <xdr:col>4</xdr:col>
      <xdr:colOff>1095375</xdr:colOff>
      <xdr:row>0</xdr:row>
      <xdr:rowOff>581025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238125"/>
          <a:ext cx="1581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2219325</xdr:colOff>
      <xdr:row>22</xdr:row>
      <xdr:rowOff>171450</xdr:rowOff>
    </xdr:from>
    <xdr:to>
      <xdr:col>2</xdr:col>
      <xdr:colOff>876300</xdr:colOff>
      <xdr:row>27</xdr:row>
      <xdr:rowOff>9525</xdr:rowOff>
    </xdr:to>
    <xdr:sp>
      <xdr:nvSpPr>
        <xdr:cNvPr id="3" name="CaixaDeTexto 1"/>
        <xdr:cNvSpPr txBox="1">
          <a:spLocks noChangeArrowheads="1"/>
        </xdr:cNvSpPr>
      </xdr:nvSpPr>
      <xdr:spPr>
        <a:xfrm>
          <a:off x="2838450" y="5857875"/>
          <a:ext cx="18573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LEONAN STÔCCO BRAIDO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CIVIL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 N.º ES - 0043360/D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561975</xdr:colOff>
      <xdr:row>0</xdr:row>
      <xdr:rowOff>638175</xdr:rowOff>
    </xdr:to>
    <xdr:pic>
      <xdr:nvPicPr>
        <xdr:cNvPr id="1" name="Imagem 3" descr="Serviços On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180975</xdr:rowOff>
    </xdr:from>
    <xdr:to>
      <xdr:col>8</xdr:col>
      <xdr:colOff>733425</xdr:colOff>
      <xdr:row>0</xdr:row>
      <xdr:rowOff>523875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80975"/>
          <a:ext cx="1581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2657475</xdr:colOff>
      <xdr:row>157</xdr:row>
      <xdr:rowOff>28575</xdr:rowOff>
    </xdr:from>
    <xdr:to>
      <xdr:col>3</xdr:col>
      <xdr:colOff>4514850</xdr:colOff>
      <xdr:row>161</xdr:row>
      <xdr:rowOff>190500</xdr:rowOff>
    </xdr:to>
    <xdr:sp>
      <xdr:nvSpPr>
        <xdr:cNvPr id="3" name="CaixaDeTexto 1"/>
        <xdr:cNvSpPr txBox="1">
          <a:spLocks noChangeArrowheads="1"/>
        </xdr:cNvSpPr>
      </xdr:nvSpPr>
      <xdr:spPr>
        <a:xfrm>
          <a:off x="4314825" y="31908750"/>
          <a:ext cx="1857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LEONAN STÔCCO BRAIDO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CIVIL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 N.º ES - 0043360/D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180975</xdr:colOff>
      <xdr:row>2</xdr:row>
      <xdr:rowOff>304800</xdr:rowOff>
    </xdr:to>
    <xdr:pic>
      <xdr:nvPicPr>
        <xdr:cNvPr id="1" name="Imagem 3" descr="Serviços On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76200</xdr:rowOff>
    </xdr:from>
    <xdr:to>
      <xdr:col>10</xdr:col>
      <xdr:colOff>733425</xdr:colOff>
      <xdr:row>2</xdr:row>
      <xdr:rowOff>190500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266700"/>
          <a:ext cx="1571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44</xdr:row>
      <xdr:rowOff>9525</xdr:rowOff>
    </xdr:from>
    <xdr:to>
      <xdr:col>5</xdr:col>
      <xdr:colOff>228600</xdr:colOff>
      <xdr:row>49</xdr:row>
      <xdr:rowOff>19050</xdr:rowOff>
    </xdr:to>
    <xdr:sp>
      <xdr:nvSpPr>
        <xdr:cNvPr id="3" name="CaixaDeTexto 1"/>
        <xdr:cNvSpPr txBox="1">
          <a:spLocks noChangeArrowheads="1"/>
        </xdr:cNvSpPr>
      </xdr:nvSpPr>
      <xdr:spPr>
        <a:xfrm>
          <a:off x="4086225" y="7353300"/>
          <a:ext cx="1857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LEONAN STÔCCO BRAIDO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CIVIL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 N.º ES - 0043360/D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171450</xdr:colOff>
      <xdr:row>0</xdr:row>
      <xdr:rowOff>752475</xdr:rowOff>
    </xdr:to>
    <xdr:pic>
      <xdr:nvPicPr>
        <xdr:cNvPr id="1" name="image2.jpg" descr="Serviços On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352425</xdr:colOff>
      <xdr:row>0</xdr:row>
      <xdr:rowOff>266700</xdr:rowOff>
    </xdr:from>
    <xdr:to>
      <xdr:col>8</xdr:col>
      <xdr:colOff>495300</xdr:colOff>
      <xdr:row>0</xdr:row>
      <xdr:rowOff>609600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266700"/>
          <a:ext cx="1571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3952875</xdr:colOff>
      <xdr:row>113</xdr:row>
      <xdr:rowOff>0</xdr:rowOff>
    </xdr:from>
    <xdr:to>
      <xdr:col>3</xdr:col>
      <xdr:colOff>304800</xdr:colOff>
      <xdr:row>117</xdr:row>
      <xdr:rowOff>133350</xdr:rowOff>
    </xdr:to>
    <xdr:sp>
      <xdr:nvSpPr>
        <xdr:cNvPr id="3" name="CaixaDeTexto 1"/>
        <xdr:cNvSpPr txBox="1">
          <a:spLocks noChangeArrowheads="1"/>
        </xdr:cNvSpPr>
      </xdr:nvSpPr>
      <xdr:spPr>
        <a:xfrm>
          <a:off x="4371975" y="21240750"/>
          <a:ext cx="18573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LEONAN STÔCCO BRAIDO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CIVIL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 N.º ES - 0043360/D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2343150</xdr:colOff>
      <xdr:row>579</xdr:row>
      <xdr:rowOff>38100</xdr:rowOff>
    </xdr:from>
    <xdr:to>
      <xdr:col>5</xdr:col>
      <xdr:colOff>171450</xdr:colOff>
      <xdr:row>584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228975" y="125510925"/>
          <a:ext cx="1857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LEONAN STÔCCO BRAIDO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CIVIL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 N.º ES - 0043360/D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1409700</xdr:colOff>
      <xdr:row>145</xdr:row>
      <xdr:rowOff>114300</xdr:rowOff>
    </xdr:from>
    <xdr:to>
      <xdr:col>7</xdr:col>
      <xdr:colOff>47625</xdr:colOff>
      <xdr:row>150</xdr:row>
      <xdr:rowOff>123825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486775" y="29927550"/>
          <a:ext cx="18669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LEONAN STÔCCO BRAIDO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CIVIL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 N.º ES - 0043360/D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95250</xdr:rowOff>
    </xdr:from>
    <xdr:to>
      <xdr:col>1</xdr:col>
      <xdr:colOff>200025</xdr:colOff>
      <xdr:row>0</xdr:row>
      <xdr:rowOff>676275</xdr:rowOff>
    </xdr:to>
    <xdr:pic>
      <xdr:nvPicPr>
        <xdr:cNvPr id="1" name="Imagem 3" descr="Serviços On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247650</xdr:rowOff>
    </xdr:from>
    <xdr:to>
      <xdr:col>14</xdr:col>
      <xdr:colOff>1362075</xdr:colOff>
      <xdr:row>0</xdr:row>
      <xdr:rowOff>590550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247650"/>
          <a:ext cx="1581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393</xdr:row>
      <xdr:rowOff>76200</xdr:rowOff>
    </xdr:from>
    <xdr:to>
      <xdr:col>9</xdr:col>
      <xdr:colOff>400050</xdr:colOff>
      <xdr:row>398</xdr:row>
      <xdr:rowOff>85725</xdr:rowOff>
    </xdr:to>
    <xdr:sp>
      <xdr:nvSpPr>
        <xdr:cNvPr id="3" name="CaixaDeTexto 1"/>
        <xdr:cNvSpPr txBox="1">
          <a:spLocks noChangeArrowheads="1"/>
        </xdr:cNvSpPr>
      </xdr:nvSpPr>
      <xdr:spPr>
        <a:xfrm>
          <a:off x="4772025" y="87687150"/>
          <a:ext cx="1857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LEONAN STÔCCO BRAIDO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CIVIL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 N.º ES - 0043360/D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erp-vix\PROJETOS\REDE-PMCOL\QUALIDADE\REF.%20DE%20CUSTOS\SINAPI\ATUALIZADO\SINAPI_2022_04_abr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erp-vix\PROJETOS\REDE-PMCOL\QUALIDADE\REF.%20DE%20CUSTOS\SICRO-ES\ATUALIZADO\SICRO_2022_04_abri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erp-vix\PROJETOS\REDE-PMCOL\QUALIDADE\REF.%20DE%20CUSTOS\CESAN\ATUALIZADO\Cesan_2022_04_abri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erp-vix\PROJETOS\REDE-PMCOL\QUALIDADE\REF.%20DE%20CUSTOS\DER-ES\ATUALIZADO\DER-ES_jan_22%20-%20sem%20d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erp-vix\PROJETOS\REDE-PMCOL\QUALIDADE\REF.%20DE%20CUSTOS\IOPES\ATUALIZADO\DER-EDIF._2022_04_abr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Insumos"/>
      <sheetName val="SINAPI_2022_04_abr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Materiais"/>
      <sheetName val="Mão-de-obra"/>
      <sheetName val="Equipamentos"/>
      <sheetName val="SICRO_2022_04_abri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Cesan_2022_04_abril"/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Equipamentos"/>
      <sheetName val="Mão de obra"/>
      <sheetName val="Materiais"/>
      <sheetName val="Consult. Serv."/>
      <sheetName val="Consult. Mão-de-Obra"/>
      <sheetName val="Transporte"/>
      <sheetName val="Consult. Materiais"/>
      <sheetName val="DER-ES_jan_22 - sem 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Insumos"/>
      <sheetName val="DER-EDIF._2022_04_abr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SheetLayoutView="100" zoomScalePageLayoutView="0" workbookViewId="0" topLeftCell="A1">
      <selection activeCell="B392" sqref="B392"/>
    </sheetView>
  </sheetViews>
  <sheetFormatPr defaultColWidth="9.140625" defaultRowHeight="18" customHeight="1"/>
  <cols>
    <col min="1" max="1" width="9.28125" style="0" customWidth="1"/>
    <col min="2" max="2" width="48.00390625" style="0" customWidth="1"/>
    <col min="3" max="3" width="18.00390625" style="0" customWidth="1"/>
    <col min="4" max="4" width="18.57421875" style="0" customWidth="1"/>
    <col min="5" max="5" width="18.7109375" style="0" customWidth="1"/>
    <col min="7" max="7" width="13.7109375" style="0" customWidth="1"/>
  </cols>
  <sheetData>
    <row r="1" spans="1:5" ht="63.75" customHeight="1">
      <c r="A1" s="645" t="s">
        <v>168</v>
      </c>
      <c r="B1" s="646"/>
      <c r="C1" s="646"/>
      <c r="D1" s="646"/>
      <c r="E1" s="647"/>
    </row>
    <row r="2" spans="1:5" ht="18" customHeight="1">
      <c r="A2" s="652" t="s">
        <v>400</v>
      </c>
      <c r="B2" s="653"/>
      <c r="C2" s="656" t="s">
        <v>559</v>
      </c>
      <c r="D2" s="657"/>
      <c r="E2" s="658"/>
    </row>
    <row r="3" spans="1:5" ht="18" customHeight="1">
      <c r="A3" s="654" t="s">
        <v>401</v>
      </c>
      <c r="B3" s="655"/>
      <c r="C3" s="659" t="s">
        <v>174</v>
      </c>
      <c r="D3" s="659"/>
      <c r="E3" s="660"/>
    </row>
    <row r="4" spans="1:5" ht="18" customHeight="1">
      <c r="A4" s="374" t="s">
        <v>38</v>
      </c>
      <c r="B4" s="532">
        <v>0.261</v>
      </c>
      <c r="C4" s="648" t="s">
        <v>322</v>
      </c>
      <c r="D4" s="648"/>
      <c r="E4" s="649"/>
    </row>
    <row r="5" spans="1:5" ht="18" customHeight="1">
      <c r="A5" s="19" t="s">
        <v>1</v>
      </c>
      <c r="B5" s="20" t="s">
        <v>9</v>
      </c>
      <c r="C5" s="21" t="s">
        <v>10</v>
      </c>
      <c r="D5" s="21" t="s">
        <v>11</v>
      </c>
      <c r="E5" s="22" t="s">
        <v>21</v>
      </c>
    </row>
    <row r="6" spans="1:5" ht="18" customHeight="1">
      <c r="A6" s="17" t="s">
        <v>3</v>
      </c>
      <c r="B6" s="13" t="str">
        <f>ORÇ!D7</f>
        <v>TERRAPLENAGEM E SERVIÇOS PRELIMINARES</v>
      </c>
      <c r="C6" s="14">
        <f>ORÇ!I21</f>
        <v>42203.600000000006</v>
      </c>
      <c r="D6" s="15">
        <f>C6/$B$4</f>
        <v>161699.61685823757</v>
      </c>
      <c r="E6" s="16">
        <f>C6/$C$15</f>
        <v>0.0442610027819338</v>
      </c>
    </row>
    <row r="7" spans="1:5" ht="18" customHeight="1">
      <c r="A7" s="17" t="s">
        <v>6</v>
      </c>
      <c r="B7" s="13" t="str">
        <f>ORÇ!D23</f>
        <v>DRENAGEM E O.A.C.</v>
      </c>
      <c r="C7" s="14">
        <f>ORÇ!I46</f>
        <v>100009.1</v>
      </c>
      <c r="D7" s="15">
        <f aca="true" t="shared" si="0" ref="D7:D14">C7/$B$4</f>
        <v>383176.6283524904</v>
      </c>
      <c r="E7" s="16">
        <f aca="true" t="shared" si="1" ref="E7:E14">C7/$C$15</f>
        <v>0.10488448979041351</v>
      </c>
    </row>
    <row r="8" spans="1:5" ht="18" customHeight="1">
      <c r="A8" s="17" t="s">
        <v>8</v>
      </c>
      <c r="B8" s="13" t="str">
        <f>ORÇ!D48</f>
        <v>PAVIMENTAÇÃO</v>
      </c>
      <c r="C8" s="14">
        <f>ORÇ!I69</f>
        <v>261804.9</v>
      </c>
      <c r="D8" s="15">
        <f t="shared" si="0"/>
        <v>1003083.908045977</v>
      </c>
      <c r="E8" s="16">
        <f t="shared" si="1"/>
        <v>0.27456774794623917</v>
      </c>
    </row>
    <row r="9" spans="1:5" ht="18" customHeight="1">
      <c r="A9" s="17" t="s">
        <v>0</v>
      </c>
      <c r="B9" s="13" t="str">
        <f>ORÇ!D71</f>
        <v>SINALIZAÇÃO </v>
      </c>
      <c r="C9" s="14">
        <f>ORÇ!I77</f>
        <v>11748.2</v>
      </c>
      <c r="D9" s="15">
        <f t="shared" si="0"/>
        <v>45012.26053639847</v>
      </c>
      <c r="E9" s="16">
        <f t="shared" si="1"/>
        <v>0.012320918425980596</v>
      </c>
    </row>
    <row r="10" spans="1:5" ht="18" customHeight="1">
      <c r="A10" s="17" t="s">
        <v>325</v>
      </c>
      <c r="B10" s="13" t="str">
        <f>ORÇ!D79</f>
        <v>OBRAS COMPLEMENTARES E URBANISMO</v>
      </c>
      <c r="C10" s="14">
        <f>ORÇ!I93</f>
        <v>127783.23000000001</v>
      </c>
      <c r="D10" s="15">
        <f t="shared" si="0"/>
        <v>489590.9195402299</v>
      </c>
      <c r="E10" s="16">
        <f t="shared" si="1"/>
        <v>0.134012593677186</v>
      </c>
    </row>
    <row r="11" spans="1:5" ht="18" customHeight="1">
      <c r="A11" s="17" t="s">
        <v>330</v>
      </c>
      <c r="B11" s="13" t="s">
        <v>463</v>
      </c>
      <c r="C11" s="14">
        <f>ORÇ!I112</f>
        <v>121486.69</v>
      </c>
      <c r="D11" s="15">
        <f>C11/$B$4</f>
        <v>465466.24521072797</v>
      </c>
      <c r="E11" s="16">
        <f>C11/$C$15</f>
        <v>0.1274091007415938</v>
      </c>
    </row>
    <row r="12" spans="1:5" ht="18" customHeight="1">
      <c r="A12" s="17" t="s">
        <v>334</v>
      </c>
      <c r="B12" s="13" t="str">
        <f>ORÇ!D114</f>
        <v>TRANSPORTES</v>
      </c>
      <c r="C12" s="14">
        <f>ORÇ!I120</f>
        <v>24793.21</v>
      </c>
      <c r="D12" s="15">
        <f t="shared" si="0"/>
        <v>94993.1417624521</v>
      </c>
      <c r="E12" s="16">
        <f t="shared" si="1"/>
        <v>0.026001865641392414</v>
      </c>
    </row>
    <row r="13" spans="1:5" ht="24">
      <c r="A13" s="17" t="s">
        <v>434</v>
      </c>
      <c r="B13" s="18" t="s">
        <v>16</v>
      </c>
      <c r="C13" s="15">
        <f>ORÇ!I145</f>
        <v>210783.62</v>
      </c>
      <c r="D13" s="15">
        <f t="shared" si="0"/>
        <v>807600.0766283524</v>
      </c>
      <c r="E13" s="16">
        <f t="shared" si="1"/>
        <v>0.221059208010835</v>
      </c>
    </row>
    <row r="14" spans="1:8" ht="18" customHeight="1">
      <c r="A14" s="17" t="s">
        <v>462</v>
      </c>
      <c r="B14" s="13" t="s">
        <v>36</v>
      </c>
      <c r="C14" s="14">
        <f>ORÇ!I149</f>
        <v>52904.03</v>
      </c>
      <c r="D14" s="15">
        <f t="shared" si="0"/>
        <v>202697.43295019155</v>
      </c>
      <c r="E14" s="16">
        <f t="shared" si="1"/>
        <v>0.055483072984425716</v>
      </c>
      <c r="G14" s="274">
        <f>SUM(C6:C13)</f>
        <v>900612.5499999999</v>
      </c>
      <c r="H14">
        <f>C14/G14</f>
        <v>0.058742274910559486</v>
      </c>
    </row>
    <row r="15" spans="1:6" ht="18" customHeight="1" thickBot="1">
      <c r="A15" s="650" t="s">
        <v>13</v>
      </c>
      <c r="B15" s="651"/>
      <c r="C15" s="30">
        <f>SUM(C6:C14)</f>
        <v>953516.58</v>
      </c>
      <c r="D15" s="30">
        <f>SUM(D6:D14)</f>
        <v>3653320.229885058</v>
      </c>
      <c r="E15" s="31">
        <f>SUM(E6:E14)</f>
        <v>1</v>
      </c>
      <c r="F15" s="291" t="str">
        <f>IF(C15=ORÇ!I151,"OK!","ERRO")</f>
        <v>OK!</v>
      </c>
    </row>
    <row r="26" spans="1:5" ht="18" customHeight="1">
      <c r="A26" s="644"/>
      <c r="B26" s="644"/>
      <c r="C26" s="644"/>
      <c r="D26" s="644"/>
      <c r="E26" s="644"/>
    </row>
  </sheetData>
  <sheetProtection/>
  <mergeCells count="8">
    <mergeCell ref="A26:E26"/>
    <mergeCell ref="A1:E1"/>
    <mergeCell ref="C4:E4"/>
    <mergeCell ref="A15:B15"/>
    <mergeCell ref="A2:B2"/>
    <mergeCell ref="A3:B3"/>
    <mergeCell ref="C2:E2"/>
    <mergeCell ref="C3:E3"/>
  </mergeCells>
  <conditionalFormatting sqref="F15">
    <cfRule type="containsText" priority="1" dxfId="36" operator="containsText" stopIfTrue="1" text="ERRO">
      <formula>NOT(ISERROR(SEARCH("ERRO",F15)))</formula>
    </cfRule>
    <cfRule type="containsText" priority="2" dxfId="37" operator="containsText" stopIfTrue="1" text="OK!">
      <formula>NOT(ISERROR(SEARCH("OK!",F15)))</formula>
    </cfRule>
    <cfRule type="cellIs" priority="4" dxfId="38" operator="equal" stopIfTrue="1">
      <formula>"""OK!"""</formula>
    </cfRule>
    <cfRule type="iconSet" priority="3" dxfId="39">
      <iconSet iconSet="3TrafficLights1">
        <cfvo type="percent" val="0"/>
        <cfvo type="percent" val="33"/>
        <cfvo type="percent" val="67"/>
      </iconSet>
    </cfRule>
    <cfRule type="cellIs" priority="5" dxfId="37" operator="equal" stopIfTrue="1">
      <formula>"""OK!"""</formula>
    </cfRule>
    <cfRule type="colorScale" priority="6" dxfId="39">
      <colorScale>
        <cfvo type="min" val="0"/>
        <cfvo type="max"/>
        <color rgb="FFFFEF9C"/>
        <color rgb="FF63BE7B"/>
      </colorScale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rstPageNumber="96" useFirstPageNumber="1" fitToHeight="0" fitToWidth="1" horizontalDpi="600" verticalDpi="600" orientation="portrait" paperSize="9" scale="77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showGridLines="0" view="pageBreakPreview" zoomScaleNormal="115" zoomScaleSheetLayoutView="100" zoomScalePageLayoutView="85" workbookViewId="0" topLeftCell="A42">
      <selection activeCell="L59" sqref="L59"/>
    </sheetView>
  </sheetViews>
  <sheetFormatPr defaultColWidth="15.421875" defaultRowHeight="16.5" customHeight="1"/>
  <cols>
    <col min="1" max="1" width="10.421875" style="11" customWidth="1"/>
    <col min="2" max="2" width="8.140625" style="1" bestFit="1" customWidth="1"/>
    <col min="3" max="3" width="6.28125" style="1" customWidth="1"/>
    <col min="4" max="4" width="77.8515625" style="1" customWidth="1"/>
    <col min="5" max="5" width="4.7109375" style="1" customWidth="1"/>
    <col min="6" max="6" width="10.7109375" style="1" customWidth="1"/>
    <col min="7" max="8" width="12.7109375" style="1" customWidth="1"/>
    <col min="9" max="9" width="13.7109375" style="1" customWidth="1"/>
    <col min="10" max="10" width="9.421875" style="1" customWidth="1"/>
    <col min="11" max="11" width="7.28125" style="1" customWidth="1"/>
    <col min="12" max="12" width="6.00390625" style="1" customWidth="1"/>
    <col min="13" max="13" width="7.140625" style="1" customWidth="1"/>
    <col min="14" max="16384" width="15.421875" style="1" customWidth="1"/>
  </cols>
  <sheetData>
    <row r="1" spans="1:9" ht="53.25" customHeight="1">
      <c r="A1" s="645" t="s">
        <v>167</v>
      </c>
      <c r="B1" s="646"/>
      <c r="C1" s="646"/>
      <c r="D1" s="646"/>
      <c r="E1" s="646"/>
      <c r="F1" s="646"/>
      <c r="G1" s="646"/>
      <c r="H1" s="646"/>
      <c r="I1" s="647"/>
    </row>
    <row r="2" spans="1:9" ht="18" customHeight="1">
      <c r="A2" s="685" t="s">
        <v>400</v>
      </c>
      <c r="B2" s="686"/>
      <c r="C2" s="686"/>
      <c r="D2" s="686"/>
      <c r="E2" s="367" t="s">
        <v>41</v>
      </c>
      <c r="F2" s="375">
        <v>0.2332</v>
      </c>
      <c r="G2" s="682" t="s">
        <v>42</v>
      </c>
      <c r="H2" s="683"/>
      <c r="I2" s="684"/>
    </row>
    <row r="3" spans="1:9" ht="15" customHeight="1">
      <c r="A3" s="370" t="s">
        <v>401</v>
      </c>
      <c r="B3" s="371"/>
      <c r="C3" s="372"/>
      <c r="D3" s="373"/>
      <c r="E3" s="674" t="s">
        <v>130</v>
      </c>
      <c r="F3" s="670" t="s">
        <v>558</v>
      </c>
      <c r="G3" s="670"/>
      <c r="H3" s="670"/>
      <c r="I3" s="671"/>
    </row>
    <row r="4" spans="1:9" ht="15" customHeight="1">
      <c r="A4" s="654" t="s">
        <v>402</v>
      </c>
      <c r="B4" s="676"/>
      <c r="C4" s="659"/>
      <c r="D4" s="655"/>
      <c r="E4" s="675"/>
      <c r="F4" s="672"/>
      <c r="G4" s="672"/>
      <c r="H4" s="672"/>
      <c r="I4" s="673"/>
    </row>
    <row r="5" spans="1:9" ht="15" customHeight="1">
      <c r="A5" s="368" t="s">
        <v>164</v>
      </c>
      <c r="B5" s="369"/>
      <c r="C5" s="687">
        <v>4</v>
      </c>
      <c r="D5" s="688"/>
      <c r="E5" s="677" t="s">
        <v>349</v>
      </c>
      <c r="F5" s="677"/>
      <c r="G5" s="677"/>
      <c r="H5" s="677"/>
      <c r="I5" s="678"/>
    </row>
    <row r="6" spans="1:9" ht="33.75">
      <c r="A6" s="32" t="s">
        <v>17</v>
      </c>
      <c r="B6" s="33" t="s">
        <v>15</v>
      </c>
      <c r="C6" s="33" t="s">
        <v>1</v>
      </c>
      <c r="D6" s="33" t="s">
        <v>2</v>
      </c>
      <c r="E6" s="33" t="s">
        <v>18</v>
      </c>
      <c r="F6" s="33" t="s">
        <v>19</v>
      </c>
      <c r="G6" s="33" t="s">
        <v>290</v>
      </c>
      <c r="H6" s="408" t="s">
        <v>317</v>
      </c>
      <c r="I6" s="34" t="s">
        <v>39</v>
      </c>
    </row>
    <row r="7" spans="1:9" ht="15" customHeight="1">
      <c r="A7" s="662"/>
      <c r="B7" s="663"/>
      <c r="C7" s="12" t="s">
        <v>3</v>
      </c>
      <c r="D7" s="143" t="s">
        <v>403</v>
      </c>
      <c r="E7" s="144"/>
      <c r="F7" s="144"/>
      <c r="G7" s="144"/>
      <c r="H7" s="144"/>
      <c r="I7" s="536"/>
    </row>
    <row r="8" spans="1:9" ht="15" customHeight="1">
      <c r="A8" s="662"/>
      <c r="B8" s="663"/>
      <c r="C8" s="12" t="s">
        <v>178</v>
      </c>
      <c r="D8" s="143" t="s">
        <v>43</v>
      </c>
      <c r="E8" s="144"/>
      <c r="F8" s="144"/>
      <c r="G8" s="144"/>
      <c r="H8" s="144"/>
      <c r="I8" s="145">
        <f>SUM(I9:I15)</f>
        <v>36017.05</v>
      </c>
    </row>
    <row r="9" spans="1:10" ht="22.5">
      <c r="A9" s="2">
        <v>5501700</v>
      </c>
      <c r="B9" s="3" t="s">
        <v>40</v>
      </c>
      <c r="C9" s="225" t="s">
        <v>353</v>
      </c>
      <c r="D9" s="8" t="s">
        <v>489</v>
      </c>
      <c r="E9" s="9" t="s">
        <v>146</v>
      </c>
      <c r="F9" s="626">
        <f>VLOOKUP(C9,MEMORIA!$A$1:$Z$385,16,0)</f>
        <v>656</v>
      </c>
      <c r="G9" s="9">
        <v>0.48</v>
      </c>
      <c r="H9" s="9">
        <f aca="true" t="shared" si="0" ref="H9:H15">G9*(1+$F$2)</f>
        <v>0.591936</v>
      </c>
      <c r="I9" s="10">
        <f aca="true" t="shared" si="1" ref="I9:I15">ROUND(ROUND(F9,2)*ROUND(H9,2),2)</f>
        <v>387.04</v>
      </c>
      <c r="J9" s="1">
        <f>VLOOKUP(ORÇ!A9,'TRANSP.'!$A$1:$J$9967,1,0)</f>
        <v>5501700</v>
      </c>
    </row>
    <row r="10" spans="1:10" ht="15" customHeight="1">
      <c r="A10" s="114">
        <f>COMPS!B1</f>
        <v>11001</v>
      </c>
      <c r="B10" s="38" t="s">
        <v>44</v>
      </c>
      <c r="C10" s="225" t="s">
        <v>354</v>
      </c>
      <c r="D10" s="8" t="str">
        <f>COMPS!C1</f>
        <v>Desgalhamento, corte em toras e empilhamento de Árvores</v>
      </c>
      <c r="E10" s="9" t="str">
        <f>VLOOKUP(A10,COMPS!$B$1:$N$880,10,0)</f>
        <v>und</v>
      </c>
      <c r="F10" s="141">
        <f>VLOOKUP(C10,MEMORIA!$A$1:$Z$385,16,0)</f>
        <v>2</v>
      </c>
      <c r="G10" s="9">
        <f>VLOOKUP(A10,COMPS!$B$1:$N$880,11,0)</f>
        <v>124.79</v>
      </c>
      <c r="H10" s="9">
        <f>G10*(1+$F$2)</f>
        <v>153.891028</v>
      </c>
      <c r="I10" s="10">
        <f>ROUND(ROUND(F10,2)*ROUND(H10,2),2)</f>
        <v>307.78</v>
      </c>
      <c r="J10" s="1" t="e">
        <f>VLOOKUP(ORÇ!A10,'TRANSP.'!$A$1:$J$9967,1,0)</f>
        <v>#N/A</v>
      </c>
    </row>
    <row r="11" spans="1:10" ht="15" customHeight="1">
      <c r="A11" s="114">
        <v>5501701</v>
      </c>
      <c r="B11" s="38" t="s">
        <v>40</v>
      </c>
      <c r="C11" s="225" t="s">
        <v>355</v>
      </c>
      <c r="D11" s="8" t="s">
        <v>491</v>
      </c>
      <c r="E11" s="9" t="s">
        <v>89</v>
      </c>
      <c r="F11" s="141">
        <f>VLOOKUP(C11,MEMORIA!$A$1:$Z$385,16,0)</f>
        <v>2</v>
      </c>
      <c r="G11" s="9">
        <v>35.26</v>
      </c>
      <c r="H11" s="9">
        <f t="shared" si="0"/>
        <v>43.482632</v>
      </c>
      <c r="I11" s="10">
        <f t="shared" si="1"/>
        <v>86.96</v>
      </c>
      <c r="J11" s="1">
        <f>VLOOKUP(ORÇ!A11,'TRANSP.'!$A$1:$J$9967,1,0)</f>
        <v>5501701</v>
      </c>
    </row>
    <row r="12" spans="1:10" ht="15" customHeight="1">
      <c r="A12" s="114">
        <v>5501702</v>
      </c>
      <c r="B12" s="38" t="s">
        <v>40</v>
      </c>
      <c r="C12" s="225" t="s">
        <v>356</v>
      </c>
      <c r="D12" s="8" t="s">
        <v>493</v>
      </c>
      <c r="E12" s="9" t="s">
        <v>89</v>
      </c>
      <c r="F12" s="141">
        <f>VLOOKUP(C12,MEMORIA!$A$1:$Z$385,16,0)</f>
        <v>2</v>
      </c>
      <c r="G12" s="9">
        <v>88.16</v>
      </c>
      <c r="H12" s="9">
        <f t="shared" si="0"/>
        <v>108.718912</v>
      </c>
      <c r="I12" s="10">
        <f t="shared" si="1"/>
        <v>217.44</v>
      </c>
      <c r="J12" s="1">
        <f>VLOOKUP(ORÇ!A12,'TRANSP.'!$A$1:$J$9967,1,0)</f>
        <v>5501702</v>
      </c>
    </row>
    <row r="13" spans="1:10" ht="15" customHeight="1">
      <c r="A13" s="114">
        <v>1600989</v>
      </c>
      <c r="B13" s="38" t="s">
        <v>40</v>
      </c>
      <c r="C13" s="225" t="s">
        <v>357</v>
      </c>
      <c r="D13" s="8" t="s">
        <v>307</v>
      </c>
      <c r="E13" s="9" t="s">
        <v>4</v>
      </c>
      <c r="F13" s="141">
        <f>VLOOKUP(C13,MEMORIA!$A$1:$Z$385,16,0)</f>
        <v>52.480000000000004</v>
      </c>
      <c r="G13" s="9">
        <v>331.57</v>
      </c>
      <c r="H13" s="9">
        <f t="shared" si="0"/>
        <v>408.892124</v>
      </c>
      <c r="I13" s="10">
        <f t="shared" si="1"/>
        <v>21458.55</v>
      </c>
      <c r="J13" s="1" t="e">
        <f>VLOOKUP(ORÇ!A13,'TRANSP.'!$A$1:$J$9967,1,0)</f>
        <v>#N/A</v>
      </c>
    </row>
    <row r="14" spans="1:10" ht="15" customHeight="1">
      <c r="A14" s="114">
        <v>1600438</v>
      </c>
      <c r="B14" s="38" t="s">
        <v>40</v>
      </c>
      <c r="C14" s="225" t="s">
        <v>358</v>
      </c>
      <c r="D14" s="8" t="s">
        <v>561</v>
      </c>
      <c r="E14" s="9" t="s">
        <v>4</v>
      </c>
      <c r="F14" s="141">
        <f>VLOOKUP(C14,MEMORIA!$A$1:$Z$385,16,0)</f>
        <v>10</v>
      </c>
      <c r="G14" s="9">
        <v>499.89</v>
      </c>
      <c r="H14" s="9">
        <f t="shared" si="0"/>
        <v>616.464348</v>
      </c>
      <c r="I14" s="10">
        <f t="shared" si="1"/>
        <v>6164.6</v>
      </c>
      <c r="J14" s="1" t="e">
        <f>VLOOKUP(ORÇ!A14,'TRANSP.'!$A$1:$J$9967,1,0)</f>
        <v>#N/A</v>
      </c>
    </row>
    <row r="15" spans="1:10" ht="22.5">
      <c r="A15" s="114">
        <v>30304</v>
      </c>
      <c r="B15" s="38" t="s">
        <v>436</v>
      </c>
      <c r="C15" s="225" t="s">
        <v>359</v>
      </c>
      <c r="D15" s="8" t="s">
        <v>562</v>
      </c>
      <c r="E15" s="9" t="s">
        <v>563</v>
      </c>
      <c r="F15" s="141">
        <f>VLOOKUP(C15,MEMORIA!$A$1:$Z$385,16,0)</f>
        <v>95.28</v>
      </c>
      <c r="G15" s="9">
        <v>62.93</v>
      </c>
      <c r="H15" s="9">
        <f t="shared" si="0"/>
        <v>77.605276</v>
      </c>
      <c r="I15" s="10">
        <f t="shared" si="1"/>
        <v>7394.68</v>
      </c>
      <c r="J15" s="1" t="e">
        <f>VLOOKUP(ORÇ!A15,'TRANSP.'!$A$1:$J$9967,1,0)</f>
        <v>#N/A</v>
      </c>
    </row>
    <row r="16" spans="1:10" ht="15" customHeight="1">
      <c r="A16" s="662"/>
      <c r="B16" s="663"/>
      <c r="C16" s="12" t="s">
        <v>196</v>
      </c>
      <c r="D16" s="143" t="s">
        <v>404</v>
      </c>
      <c r="E16" s="144"/>
      <c r="F16" s="144"/>
      <c r="G16" s="144"/>
      <c r="H16" s="144"/>
      <c r="I16" s="145">
        <f>SUM(I17:I20)</f>
        <v>6186.550000000001</v>
      </c>
      <c r="J16" s="1" t="e">
        <f>VLOOKUP(ORÇ!A16,'TRANSP.'!$A$1:$J$9967,1,0)</f>
        <v>#N/A</v>
      </c>
    </row>
    <row r="17" spans="1:10" ht="22.5">
      <c r="A17" s="114">
        <v>5502135</v>
      </c>
      <c r="B17" s="38" t="s">
        <v>40</v>
      </c>
      <c r="C17" s="225" t="s">
        <v>362</v>
      </c>
      <c r="D17" s="8" t="s">
        <v>564</v>
      </c>
      <c r="E17" s="9" t="s">
        <v>4</v>
      </c>
      <c r="F17" s="141">
        <f>VLOOKUP(C17,MEMORIA!$A$1:$Z$385,16,0)</f>
        <v>200.95219999999983</v>
      </c>
      <c r="G17" s="9">
        <v>5.04</v>
      </c>
      <c r="H17" s="9">
        <f>G17*(1+$F$2)</f>
        <v>6.215328</v>
      </c>
      <c r="I17" s="10">
        <f>ROUND(ROUND(F17,2)*ROUND(H17,2),2)</f>
        <v>1249.91</v>
      </c>
      <c r="J17" s="1" t="e">
        <f>VLOOKUP(ORÇ!A17,'TRANSP.'!$A$1:$J$9967,1,0)</f>
        <v>#N/A</v>
      </c>
    </row>
    <row r="18" spans="1:10" ht="15" customHeight="1">
      <c r="A18" s="114">
        <v>5914344</v>
      </c>
      <c r="B18" s="38" t="s">
        <v>40</v>
      </c>
      <c r="C18" s="225" t="s">
        <v>363</v>
      </c>
      <c r="D18" s="8" t="s">
        <v>565</v>
      </c>
      <c r="E18" s="9" t="s">
        <v>246</v>
      </c>
      <c r="F18" s="141">
        <f>VLOOKUP(C18,MEMORIA!$A$1:$Z$385,16,0)</f>
        <v>2769.3725062499975</v>
      </c>
      <c r="G18" s="9">
        <v>0.8</v>
      </c>
      <c r="H18" s="9">
        <f>G18*(1+$F$2)</f>
        <v>0.9865600000000001</v>
      </c>
      <c r="I18" s="10">
        <f>ROUND(ROUND(F18,2)*ROUND(H18,2),2)</f>
        <v>2741.68</v>
      </c>
      <c r="J18" s="1" t="e">
        <f>VLOOKUP(ORÇ!A18,'TRANSP.'!$A$1:$J$9967,1,0)</f>
        <v>#N/A</v>
      </c>
    </row>
    <row r="19" spans="1:10" ht="15" customHeight="1">
      <c r="A19" s="114">
        <v>5914329</v>
      </c>
      <c r="B19" s="38" t="s">
        <v>40</v>
      </c>
      <c r="C19" s="225" t="s">
        <v>364</v>
      </c>
      <c r="D19" s="8" t="s">
        <v>566</v>
      </c>
      <c r="E19" s="9" t="s">
        <v>246</v>
      </c>
      <c r="F19" s="141">
        <f>VLOOKUP(C19,MEMORIA!$A$1:$Z$385,16,0)</f>
        <v>1111.5168562499991</v>
      </c>
      <c r="G19" s="9">
        <v>0.98</v>
      </c>
      <c r="H19" s="9">
        <f>G19*(1+$F$2)</f>
        <v>1.208536</v>
      </c>
      <c r="I19" s="10">
        <f>ROUND(ROUND(F19,2)*ROUND(H19,2),2)</f>
        <v>1344.94</v>
      </c>
      <c r="J19" s="1" t="e">
        <f>VLOOKUP(ORÇ!A19,'TRANSP.'!$A$1:$J$9967,1,0)</f>
        <v>#N/A</v>
      </c>
    </row>
    <row r="20" spans="1:10" ht="15" customHeight="1">
      <c r="A20" s="514">
        <v>4413984</v>
      </c>
      <c r="B20" s="38" t="s">
        <v>40</v>
      </c>
      <c r="C20" s="225" t="s">
        <v>365</v>
      </c>
      <c r="D20" s="8" t="s">
        <v>396</v>
      </c>
      <c r="E20" s="9" t="s">
        <v>4</v>
      </c>
      <c r="F20" s="141">
        <f>VLOOKUP(C20,MEMORIA!$A$1:$Z$385,16,0)</f>
        <v>200.95219999999983</v>
      </c>
      <c r="G20" s="9">
        <v>3.43</v>
      </c>
      <c r="H20" s="9">
        <f>G20*(1+$F$2)</f>
        <v>4.229876000000001</v>
      </c>
      <c r="I20" s="10">
        <f>ROUND(ROUND(F20,2)*ROUND(H20,2),2)</f>
        <v>850.02</v>
      </c>
      <c r="J20" s="1" t="e">
        <f>VLOOKUP(ORÇ!A20,'TRANSP.'!$A$1:$J$9967,1,0)</f>
        <v>#N/A</v>
      </c>
    </row>
    <row r="21" spans="1:9" ht="15" customHeight="1">
      <c r="A21" s="667" t="str">
        <f>_xlfn.CONCAT("SUB-TOTAL ",D7)</f>
        <v>SUB-TOTAL TERRAPLENAGEM E SERVIÇOS PRELIMINARES</v>
      </c>
      <c r="B21" s="668"/>
      <c r="C21" s="668"/>
      <c r="D21" s="668"/>
      <c r="E21" s="668"/>
      <c r="F21" s="668"/>
      <c r="G21" s="668"/>
      <c r="H21" s="669"/>
      <c r="I21" s="286">
        <f>I8+I16</f>
        <v>42203.600000000006</v>
      </c>
    </row>
    <row r="22" spans="1:9" ht="4.5" customHeight="1">
      <c r="A22" s="679"/>
      <c r="B22" s="680"/>
      <c r="C22" s="680"/>
      <c r="D22" s="680"/>
      <c r="E22" s="680"/>
      <c r="F22" s="680"/>
      <c r="G22" s="680"/>
      <c r="H22" s="680"/>
      <c r="I22" s="681"/>
    </row>
    <row r="23" spans="1:9" ht="15" customHeight="1">
      <c r="A23" s="662"/>
      <c r="B23" s="663"/>
      <c r="C23" s="12" t="s">
        <v>6</v>
      </c>
      <c r="D23" s="664" t="s">
        <v>360</v>
      </c>
      <c r="E23" s="665"/>
      <c r="F23" s="665"/>
      <c r="G23" s="665"/>
      <c r="H23" s="665"/>
      <c r="I23" s="666"/>
    </row>
    <row r="24" spans="1:9" ht="15" customHeight="1">
      <c r="A24" s="662"/>
      <c r="B24" s="663"/>
      <c r="C24" s="12" t="s">
        <v>187</v>
      </c>
      <c r="D24" s="143" t="s">
        <v>361</v>
      </c>
      <c r="E24" s="144"/>
      <c r="F24" s="144"/>
      <c r="G24" s="144"/>
      <c r="H24" s="144"/>
      <c r="I24" s="145">
        <f>SUM(I25:I31)</f>
        <v>61527.95</v>
      </c>
    </row>
    <row r="25" spans="1:10" ht="15" customHeight="1">
      <c r="A25" s="114">
        <f>COMPS!$B$29</f>
        <v>21001</v>
      </c>
      <c r="B25" s="38" t="s">
        <v>44</v>
      </c>
      <c r="C25" s="225" t="s">
        <v>194</v>
      </c>
      <c r="D25" s="8" t="str">
        <f>VLOOKUP(A25,COMPS!$B$1:$N$880,2,0)</f>
        <v>Serviços de Limpeza com Caminhão SEWER JET (desobstrução de redes)</v>
      </c>
      <c r="E25" s="9" t="str">
        <f>VLOOKUP(A25,COMPS!$B$1:$N$880,10,0)</f>
        <v>h</v>
      </c>
      <c r="F25" s="141">
        <f>VLOOKUP(C25,MEMORIA!$A$1:$Z$385,16,0)</f>
        <v>56</v>
      </c>
      <c r="G25" s="9">
        <f>VLOOKUP(A25,COMPS!$B$1:$N$880,11,0)</f>
        <v>356.25</v>
      </c>
      <c r="H25" s="9">
        <f>G25*(1+$F$2)</f>
        <v>439.32750000000004</v>
      </c>
      <c r="I25" s="10">
        <f aca="true" t="shared" si="2" ref="I25:I31">ROUND(ROUND(F25,2)*ROUND(H25,2),2)</f>
        <v>24602.48</v>
      </c>
      <c r="J25" s="1" t="e">
        <f>VLOOKUP(ORÇ!A25,'TRANSP.'!$A$1:$J$9967,1,0)</f>
        <v>#N/A</v>
      </c>
    </row>
    <row r="26" spans="1:10" ht="15" customHeight="1">
      <c r="A26" s="114">
        <v>43060</v>
      </c>
      <c r="B26" s="38" t="s">
        <v>14</v>
      </c>
      <c r="C26" s="225" t="s">
        <v>195</v>
      </c>
      <c r="D26" s="8" t="s">
        <v>242</v>
      </c>
      <c r="E26" s="9" t="s">
        <v>243</v>
      </c>
      <c r="F26" s="141">
        <f>VLOOKUP(C26,MEMORIA!$A$1:$Z$385,16,0)</f>
        <v>17</v>
      </c>
      <c r="G26" s="9">
        <v>908.95231916964</v>
      </c>
      <c r="H26" s="9">
        <f aca="true" t="shared" si="3" ref="H26:H31">G26*(1+$F$2)</f>
        <v>1120.92</v>
      </c>
      <c r="I26" s="10">
        <f t="shared" si="2"/>
        <v>19055.64</v>
      </c>
      <c r="J26" s="1">
        <f>VLOOKUP(ORÇ!A26,'TRANSP.'!$A$1:$J$9967,1,0)</f>
        <v>43060</v>
      </c>
    </row>
    <row r="27" spans="1:10" ht="22.5">
      <c r="A27" s="114">
        <f>COMPS!$B$55</f>
        <v>21002</v>
      </c>
      <c r="B27" s="38" t="s">
        <v>44</v>
      </c>
      <c r="C27" s="225" t="s">
        <v>380</v>
      </c>
      <c r="D27" s="8" t="str">
        <f>VLOOKUP(A27,COMPS!$B$1:$N$880,2,0)</f>
        <v>Nivelamento de Poço de Visita com o nível do revestimento após pavimentação, constando de arrancamento do anel existente, levantamento do pescoço e chumbação do tampão</v>
      </c>
      <c r="E27" s="9" t="str">
        <f>VLOOKUP(A27,COMPS!$B$1:$N$880,10,0)</f>
        <v>un</v>
      </c>
      <c r="F27" s="141">
        <f>VLOOKUP(C27,MEMORIA!$A$1:$Z$385,16,0)</f>
        <v>17</v>
      </c>
      <c r="G27" s="9">
        <f>VLOOKUP(A27,COMPS!$B$1:$N$880,11,0)</f>
        <v>153.66</v>
      </c>
      <c r="H27" s="9">
        <f t="shared" si="3"/>
        <v>189.493512</v>
      </c>
      <c r="I27" s="10">
        <f t="shared" si="2"/>
        <v>3221.33</v>
      </c>
      <c r="J27" s="1">
        <f>VLOOKUP(ORÇ!A27,'TRANSP.'!$A$1:$J$9967,1,0)</f>
        <v>21002</v>
      </c>
    </row>
    <row r="28" spans="1:10" ht="15" customHeight="1">
      <c r="A28" s="114">
        <v>40567</v>
      </c>
      <c r="B28" s="38" t="s">
        <v>14</v>
      </c>
      <c r="C28" s="225" t="s">
        <v>381</v>
      </c>
      <c r="D28" s="8" t="s">
        <v>309</v>
      </c>
      <c r="E28" s="9" t="s">
        <v>308</v>
      </c>
      <c r="F28" s="141">
        <f>VLOOKUP(C28,MEMORIA!$A$1:$Z$385,16,0)</f>
        <v>50</v>
      </c>
      <c r="G28" s="9">
        <v>83.58741485566007</v>
      </c>
      <c r="H28" s="9">
        <f t="shared" si="3"/>
        <v>103.08000000000001</v>
      </c>
      <c r="I28" s="10">
        <f t="shared" si="2"/>
        <v>5154</v>
      </c>
      <c r="J28" s="1" t="e">
        <f>VLOOKUP(ORÇ!A28,'TRANSP.'!$A$1:$J$9967,1,0)</f>
        <v>#N/A</v>
      </c>
    </row>
    <row r="29" spans="1:10" ht="15" customHeight="1">
      <c r="A29" s="114">
        <v>43064</v>
      </c>
      <c r="B29" s="38" t="s">
        <v>14</v>
      </c>
      <c r="C29" s="225" t="s">
        <v>383</v>
      </c>
      <c r="D29" s="8" t="s">
        <v>310</v>
      </c>
      <c r="E29" s="9" t="s">
        <v>308</v>
      </c>
      <c r="F29" s="141">
        <f>VLOOKUP(C29,MEMORIA!$A$1:$Z$385,16,0)</f>
        <v>50</v>
      </c>
      <c r="G29" s="9">
        <v>22.907881933181965</v>
      </c>
      <c r="H29" s="9">
        <f t="shared" si="3"/>
        <v>28.25</v>
      </c>
      <c r="I29" s="10">
        <f t="shared" si="2"/>
        <v>1412.5</v>
      </c>
      <c r="J29" s="1" t="e">
        <f>VLOOKUP(ORÇ!A29,'TRANSP.'!$A$1:$J$9967,1,0)</f>
        <v>#N/A</v>
      </c>
    </row>
    <row r="30" spans="1:10" ht="15" customHeight="1">
      <c r="A30" s="114">
        <v>41226</v>
      </c>
      <c r="B30" s="38" t="s">
        <v>14</v>
      </c>
      <c r="C30" s="225" t="s">
        <v>405</v>
      </c>
      <c r="D30" s="8" t="s">
        <v>311</v>
      </c>
      <c r="E30" s="9" t="s">
        <v>308</v>
      </c>
      <c r="F30" s="141">
        <f>VLOOKUP(C30,MEMORIA!$A$1:$Z$385,16,0)</f>
        <v>50</v>
      </c>
      <c r="G30" s="9">
        <v>30.116769380473563</v>
      </c>
      <c r="H30" s="9">
        <f t="shared" si="3"/>
        <v>37.14</v>
      </c>
      <c r="I30" s="10">
        <f t="shared" si="2"/>
        <v>1857</v>
      </c>
      <c r="J30" s="1" t="e">
        <f>VLOOKUP(ORÇ!A30,'TRANSP.'!$A$1:$J$9967,1,0)</f>
        <v>#N/A</v>
      </c>
    </row>
    <row r="31" spans="1:10" ht="15" customHeight="1">
      <c r="A31" s="114">
        <v>43067</v>
      </c>
      <c r="B31" s="38" t="s">
        <v>14</v>
      </c>
      <c r="C31" s="225" t="s">
        <v>406</v>
      </c>
      <c r="D31" s="8" t="s">
        <v>312</v>
      </c>
      <c r="E31" s="9" t="s">
        <v>308</v>
      </c>
      <c r="F31" s="141">
        <f>VLOOKUP(C31,MEMORIA!$A$1:$Z$385,16,0)</f>
        <v>50</v>
      </c>
      <c r="G31" s="9">
        <v>100.95686020110281</v>
      </c>
      <c r="H31" s="9">
        <f t="shared" si="3"/>
        <v>124.5</v>
      </c>
      <c r="I31" s="10">
        <f t="shared" si="2"/>
        <v>6225</v>
      </c>
      <c r="J31" s="1" t="e">
        <f>VLOOKUP(ORÇ!A31,'TRANSP.'!$A$1:$J$9967,1,0)</f>
        <v>#N/A</v>
      </c>
    </row>
    <row r="32" spans="1:9" ht="15" customHeight="1">
      <c r="A32" s="662"/>
      <c r="B32" s="663"/>
      <c r="C32" s="12" t="s">
        <v>188</v>
      </c>
      <c r="D32" s="143" t="s">
        <v>440</v>
      </c>
      <c r="E32" s="144"/>
      <c r="F32" s="144"/>
      <c r="G32" s="144"/>
      <c r="H32" s="144"/>
      <c r="I32" s="145">
        <f>SUM(I33:I40)</f>
        <v>4881.7300000000005</v>
      </c>
    </row>
    <row r="33" spans="1:10" ht="15" customHeight="1">
      <c r="A33" s="485">
        <v>4805757</v>
      </c>
      <c r="B33" s="38" t="s">
        <v>40</v>
      </c>
      <c r="C33" s="225" t="s">
        <v>189</v>
      </c>
      <c r="D33" s="8" t="s">
        <v>393</v>
      </c>
      <c r="E33" s="9" t="s">
        <v>4</v>
      </c>
      <c r="F33" s="141">
        <f>VLOOKUP(C33,MEMORIA!$A$1:$Z$385,16,0)</f>
        <v>57.9</v>
      </c>
      <c r="G33" s="9">
        <v>6.19</v>
      </c>
      <c r="H33" s="9">
        <f aca="true" t="shared" si="4" ref="H33:H40">G33*(1+$F$2)</f>
        <v>7.633508000000001</v>
      </c>
      <c r="I33" s="10">
        <f aca="true" t="shared" si="5" ref="I33:I40">ROUND(ROUND(F33,2)*ROUND(H33,2),2)</f>
        <v>441.78</v>
      </c>
      <c r="J33" s="1" t="e">
        <f>VLOOKUP(ORÇ!A33,'TRANSP.'!$A$1:$J$9967,1,0)</f>
        <v>#N/A</v>
      </c>
    </row>
    <row r="34" spans="1:10" ht="15" customHeight="1">
      <c r="A34" s="485">
        <v>4805749</v>
      </c>
      <c r="B34" s="38" t="s">
        <v>40</v>
      </c>
      <c r="C34" s="225" t="s">
        <v>190</v>
      </c>
      <c r="D34" s="8" t="s">
        <v>394</v>
      </c>
      <c r="E34" s="9" t="s">
        <v>4</v>
      </c>
      <c r="F34" s="141">
        <f>VLOOKUP(C34,MEMORIA!$A$1:$Z$385,16,0)</f>
        <v>5.17</v>
      </c>
      <c r="G34" s="9">
        <v>61.92</v>
      </c>
      <c r="H34" s="9">
        <f t="shared" si="4"/>
        <v>76.359744</v>
      </c>
      <c r="I34" s="10">
        <f t="shared" si="5"/>
        <v>394.78</v>
      </c>
      <c r="J34" s="1" t="e">
        <f>VLOOKUP(ORÇ!A34,'TRANSP.'!$A$1:$J$9967,1,0)</f>
        <v>#N/A</v>
      </c>
    </row>
    <row r="35" spans="1:10" ht="15" customHeight="1">
      <c r="A35" s="485">
        <v>22001</v>
      </c>
      <c r="B35" s="38" t="s">
        <v>44</v>
      </c>
      <c r="C35" s="225" t="s">
        <v>191</v>
      </c>
      <c r="D35" s="8" t="str">
        <f>VLOOKUP(A35,COMPS!$B$1:$N$880,2,0)</f>
        <v>Reaterro com areia e adensamento hidráulico, tudo incluído em Vias Urbanas</v>
      </c>
      <c r="E35" s="9" t="str">
        <f>VLOOKUP(A35,COMPS!$B$1:$N$880,10,0)</f>
        <v>m³</v>
      </c>
      <c r="F35" s="141">
        <f>VLOOKUP(C35,MEMORIA!$A$1:$Z$385,16,0)</f>
        <v>28.7</v>
      </c>
      <c r="G35" s="9">
        <f>VLOOKUP(A35,COMPS!$B$1:$N$880,11,0)</f>
        <v>69.61</v>
      </c>
      <c r="H35" s="9">
        <f t="shared" si="4"/>
        <v>85.843052</v>
      </c>
      <c r="I35" s="10">
        <f t="shared" si="5"/>
        <v>2463.61</v>
      </c>
      <c r="J35" s="1">
        <f>VLOOKUP(ORÇ!A35,'TRANSP.'!$A$1:$J$9967,1,0)</f>
        <v>22001</v>
      </c>
    </row>
    <row r="36" spans="1:10" ht="15" customHeight="1">
      <c r="A36" s="485">
        <v>4815671</v>
      </c>
      <c r="B36" s="38" t="s">
        <v>40</v>
      </c>
      <c r="C36" s="225" t="s">
        <v>382</v>
      </c>
      <c r="D36" s="8" t="s">
        <v>395</v>
      </c>
      <c r="E36" s="9" t="s">
        <v>4</v>
      </c>
      <c r="F36" s="141">
        <f>VLOOKUP(C36,MEMORIA!$A$1:$Z$385,16,0)</f>
        <v>17.28</v>
      </c>
      <c r="G36" s="9">
        <v>15.44</v>
      </c>
      <c r="H36" s="9">
        <f t="shared" si="4"/>
        <v>19.040608</v>
      </c>
      <c r="I36" s="10">
        <f t="shared" si="5"/>
        <v>329.01</v>
      </c>
      <c r="J36" s="1" t="e">
        <f>VLOOKUP(ORÇ!A36,'TRANSP.'!$A$1:$J$9967,1,0)</f>
        <v>#N/A</v>
      </c>
    </row>
    <row r="37" spans="1:10" ht="15" customHeight="1">
      <c r="A37" s="485">
        <v>4413984</v>
      </c>
      <c r="B37" s="38" t="s">
        <v>40</v>
      </c>
      <c r="C37" s="225" t="s">
        <v>407</v>
      </c>
      <c r="D37" s="8" t="s">
        <v>396</v>
      </c>
      <c r="E37" s="9" t="s">
        <v>4</v>
      </c>
      <c r="F37" s="141">
        <f>VLOOKUP(C37,MEMORIA!$A$1:$Z$385,16,0)</f>
        <v>40.63</v>
      </c>
      <c r="G37" s="9">
        <v>3.43</v>
      </c>
      <c r="H37" s="9">
        <f t="shared" si="4"/>
        <v>4.229876000000001</v>
      </c>
      <c r="I37" s="10">
        <f t="shared" si="5"/>
        <v>171.86</v>
      </c>
      <c r="J37" s="1" t="e">
        <f>VLOOKUP(ORÇ!A37,'TRANSP.'!$A$1:$J$9967,1,0)</f>
        <v>#N/A</v>
      </c>
    </row>
    <row r="38" spans="1:10" ht="22.5">
      <c r="A38" s="485">
        <v>5915399</v>
      </c>
      <c r="B38" s="38" t="s">
        <v>40</v>
      </c>
      <c r="C38" s="225" t="s">
        <v>408</v>
      </c>
      <c r="D38" s="8" t="s">
        <v>397</v>
      </c>
      <c r="E38" s="9" t="s">
        <v>5</v>
      </c>
      <c r="F38" s="141">
        <f>VLOOKUP(C38,MEMORIA!$A$1:$Z$385,16,0)</f>
        <v>76.18125</v>
      </c>
      <c r="G38" s="9">
        <v>2.71</v>
      </c>
      <c r="H38" s="9">
        <f t="shared" si="4"/>
        <v>3.341972</v>
      </c>
      <c r="I38" s="10">
        <f t="shared" si="5"/>
        <v>254.44</v>
      </c>
      <c r="J38" s="1" t="e">
        <f>VLOOKUP(ORÇ!A38,'TRANSP.'!$A$1:$J$9967,1,0)</f>
        <v>#N/A</v>
      </c>
    </row>
    <row r="39" spans="1:10" ht="15" customHeight="1">
      <c r="A39" s="114">
        <v>5914344</v>
      </c>
      <c r="B39" s="3" t="s">
        <v>40</v>
      </c>
      <c r="C39" s="225" t="s">
        <v>409</v>
      </c>
      <c r="D39" s="8" t="s">
        <v>565</v>
      </c>
      <c r="E39" s="9" t="s">
        <v>246</v>
      </c>
      <c r="F39" s="141">
        <f>VLOOKUP(C39,MEMORIA!$A$1:$Z$385,16,0)</f>
        <v>559.9321875</v>
      </c>
      <c r="G39" s="9">
        <v>0.8</v>
      </c>
      <c r="H39" s="9">
        <f>G39*(1+$F$2)</f>
        <v>0.9865600000000001</v>
      </c>
      <c r="I39" s="10">
        <f>ROUND(ROUND(F39,2)*ROUND(H39,2),2)</f>
        <v>554.33</v>
      </c>
      <c r="J39" s="1" t="e">
        <f>VLOOKUP(ORÇ!A39,'TRANSP.'!$A$1:$J$9967,1,0)</f>
        <v>#N/A</v>
      </c>
    </row>
    <row r="40" spans="1:10" ht="15" customHeight="1">
      <c r="A40" s="114">
        <v>5914329</v>
      </c>
      <c r="B40" s="38" t="s">
        <v>40</v>
      </c>
      <c r="C40" s="225" t="s">
        <v>410</v>
      </c>
      <c r="D40" s="8" t="s">
        <v>566</v>
      </c>
      <c r="E40" s="9" t="s">
        <v>246</v>
      </c>
      <c r="F40" s="141">
        <f>VLOOKUP(C40,MEMORIA!$A$1:$Z$385,16,0)</f>
        <v>224.73468750000004</v>
      </c>
      <c r="G40" s="9">
        <v>0.98</v>
      </c>
      <c r="H40" s="9">
        <f t="shared" si="4"/>
        <v>1.208536</v>
      </c>
      <c r="I40" s="10">
        <f t="shared" si="5"/>
        <v>271.92</v>
      </c>
      <c r="J40" s="1" t="e">
        <f>VLOOKUP(ORÇ!A40,'TRANSP.'!$A$1:$J$9967,1,0)</f>
        <v>#N/A</v>
      </c>
    </row>
    <row r="41" spans="1:9" ht="15" customHeight="1">
      <c r="A41" s="662"/>
      <c r="B41" s="663"/>
      <c r="C41" s="12" t="s">
        <v>197</v>
      </c>
      <c r="D41" s="143" t="s">
        <v>366</v>
      </c>
      <c r="E41" s="144"/>
      <c r="F41" s="144"/>
      <c r="G41" s="144"/>
      <c r="H41" s="144"/>
      <c r="I41" s="145">
        <f>SUM(I42:I45)</f>
        <v>33599.42</v>
      </c>
    </row>
    <row r="42" spans="1:10" ht="15" customHeight="1">
      <c r="A42" s="114">
        <v>40893</v>
      </c>
      <c r="B42" s="38" t="s">
        <v>14</v>
      </c>
      <c r="C42" s="225" t="s">
        <v>205</v>
      </c>
      <c r="D42" s="8" t="s">
        <v>209</v>
      </c>
      <c r="E42" s="9" t="s">
        <v>308</v>
      </c>
      <c r="F42" s="141">
        <f>VLOOKUP(C42,MEMORIA!$A$1:$Z$385,16,0)</f>
        <v>171</v>
      </c>
      <c r="G42" s="9">
        <v>24.14855660071359</v>
      </c>
      <c r="H42" s="9">
        <f>G42*(1+$F$2)</f>
        <v>29.78</v>
      </c>
      <c r="I42" s="10">
        <f>ROUND(ROUND(F42,2)*ROUND(H42,2),2)</f>
        <v>5092.38</v>
      </c>
      <c r="J42" s="1">
        <f>VLOOKUP(ORÇ!A42,'TRANSP.'!$A$1:$J$9967,1,0)</f>
        <v>40893</v>
      </c>
    </row>
    <row r="43" spans="1:10" ht="22.5">
      <c r="A43" s="114">
        <v>43018</v>
      </c>
      <c r="B43" s="38" t="s">
        <v>14</v>
      </c>
      <c r="C43" s="225" t="s">
        <v>206</v>
      </c>
      <c r="D43" s="8" t="s">
        <v>244</v>
      </c>
      <c r="E43" s="9" t="s">
        <v>308</v>
      </c>
      <c r="F43" s="141">
        <f>VLOOKUP(C43,MEMORIA!$A$1:$Z$385,16,0)</f>
        <v>110</v>
      </c>
      <c r="G43" s="9">
        <v>63.54200454103146</v>
      </c>
      <c r="H43" s="9">
        <f>G43*(1+$F$2)</f>
        <v>78.36</v>
      </c>
      <c r="I43" s="10">
        <f>ROUND(ROUND(F43,2)*ROUND(H43,2),2)</f>
        <v>8619.6</v>
      </c>
      <c r="J43" s="1">
        <f>VLOOKUP(ORÇ!A43,'TRANSP.'!$A$1:$J$9967,1,0)</f>
        <v>43018</v>
      </c>
    </row>
    <row r="44" spans="1:10" ht="15" customHeight="1">
      <c r="A44" s="114">
        <f>COMPS!$B$84</f>
        <v>23001</v>
      </c>
      <c r="B44" s="38" t="s">
        <v>44</v>
      </c>
      <c r="C44" s="225" t="s">
        <v>207</v>
      </c>
      <c r="D44" s="8" t="str">
        <f>VLOOKUP(A44,COMPS!$B$1:$N$880,2,0)</f>
        <v>Caixa ralo simples (CXR-01) em blocos e grelha articulada em FFA</v>
      </c>
      <c r="E44" s="9" t="str">
        <f>VLOOKUP(A44,COMPS!$B$1:$N$880,10,0)</f>
        <v>un</v>
      </c>
      <c r="F44" s="141">
        <f>VLOOKUP(C44,MEMORIA!$A$1:$Z$385,16,0)</f>
        <v>7</v>
      </c>
      <c r="G44" s="9">
        <f>VLOOKUP(A44,COMPS!$B$1:$N$880,11,0)</f>
        <v>1050.5</v>
      </c>
      <c r="H44" s="9">
        <f>G44*(1+$F$2)</f>
        <v>1295.4766000000002</v>
      </c>
      <c r="I44" s="10">
        <f>ROUND(ROUND(F44,2)*ROUND(H44,2),2)</f>
        <v>9068.36</v>
      </c>
      <c r="J44" s="1">
        <f>VLOOKUP(ORÇ!A44,'TRANSP.'!$A$1:$J$9967,1,0)</f>
        <v>23001</v>
      </c>
    </row>
    <row r="45" spans="1:10" ht="15" customHeight="1">
      <c r="A45" s="485">
        <v>804015</v>
      </c>
      <c r="B45" s="38" t="s">
        <v>40</v>
      </c>
      <c r="C45" s="225" t="s">
        <v>411</v>
      </c>
      <c r="D45" s="8" t="s">
        <v>296</v>
      </c>
      <c r="E45" s="9" t="s">
        <v>186</v>
      </c>
      <c r="F45" s="141">
        <f>VLOOKUP(C45,MEMORIA!$A$1:$Z$385,16,0)</f>
        <v>41</v>
      </c>
      <c r="G45" s="9">
        <v>213.98</v>
      </c>
      <c r="H45" s="9">
        <f>G45*(1+$F$2)</f>
        <v>263.880136</v>
      </c>
      <c r="I45" s="10">
        <f>ROUND(ROUND(F45,2)*ROUND(H45,2),2)</f>
        <v>10819.08</v>
      </c>
      <c r="J45" s="1">
        <f>VLOOKUP(ORÇ!A45,'TRANSP.'!$A$1:$J$9967,1,0)</f>
        <v>804015</v>
      </c>
    </row>
    <row r="46" spans="1:10" ht="15" customHeight="1">
      <c r="A46" s="667" t="str">
        <f>_xlfn.CONCAT("SUB-TOTAL ",D23)</f>
        <v>SUB-TOTAL DRENAGEM E O.A.C.</v>
      </c>
      <c r="B46" s="668"/>
      <c r="C46" s="668"/>
      <c r="D46" s="668"/>
      <c r="E46" s="668"/>
      <c r="F46" s="668"/>
      <c r="G46" s="668"/>
      <c r="H46" s="669"/>
      <c r="I46" s="286">
        <f>I41+I32+I24</f>
        <v>100009.1</v>
      </c>
      <c r="J46" s="1" t="e">
        <f>VLOOKUP(ORÇ!A46,'TRANSP.'!$A$1:$J$9967,1,0)</f>
        <v>#N/A</v>
      </c>
    </row>
    <row r="47" spans="1:10" ht="4.5" customHeight="1">
      <c r="A47" s="679"/>
      <c r="B47" s="680"/>
      <c r="C47" s="680"/>
      <c r="D47" s="680"/>
      <c r="E47" s="680"/>
      <c r="F47" s="680"/>
      <c r="G47" s="680"/>
      <c r="H47" s="680"/>
      <c r="I47" s="681"/>
      <c r="J47" s="1" t="e">
        <f>VLOOKUP(ORÇ!A47,'TRANSP.'!$A$1:$J$9967,1,0)</f>
        <v>#N/A</v>
      </c>
    </row>
    <row r="48" spans="1:10" ht="15" customHeight="1">
      <c r="A48" s="662"/>
      <c r="B48" s="663"/>
      <c r="C48" s="12" t="s">
        <v>8</v>
      </c>
      <c r="D48" s="664" t="s">
        <v>7</v>
      </c>
      <c r="E48" s="665"/>
      <c r="F48" s="665"/>
      <c r="G48" s="665"/>
      <c r="H48" s="665"/>
      <c r="I48" s="666"/>
      <c r="J48" s="1" t="e">
        <f>VLOOKUP(ORÇ!A48,'TRANSP.'!$A$1:$J$9967,1,0)</f>
        <v>#N/A</v>
      </c>
    </row>
    <row r="49" spans="1:9" ht="15" customHeight="1">
      <c r="A49" s="662"/>
      <c r="B49" s="663"/>
      <c r="C49" s="12" t="s">
        <v>319</v>
      </c>
      <c r="D49" s="143" t="s">
        <v>437</v>
      </c>
      <c r="E49" s="144"/>
      <c r="F49" s="144"/>
      <c r="G49" s="144"/>
      <c r="H49" s="144"/>
      <c r="I49" s="145">
        <f>SUM(I50:I52)</f>
        <v>24107.35</v>
      </c>
    </row>
    <row r="50" spans="1:10" ht="15" customHeight="1">
      <c r="A50" s="114">
        <v>40134</v>
      </c>
      <c r="B50" s="38" t="s">
        <v>14</v>
      </c>
      <c r="C50" s="225" t="s">
        <v>415</v>
      </c>
      <c r="D50" s="8" t="s">
        <v>398</v>
      </c>
      <c r="E50" s="9" t="s">
        <v>313</v>
      </c>
      <c r="F50" s="141">
        <f>VLOOKUP(C50,MEMORIA!$A$1:$Z$385,16,0)</f>
        <v>600.33</v>
      </c>
      <c r="G50" s="9">
        <v>6.23580927667856</v>
      </c>
      <c r="H50" s="9">
        <f>G50*(1+$F$2)</f>
        <v>7.69</v>
      </c>
      <c r="I50" s="10">
        <f>ROUND(ROUND(F50,2)*ROUND(H50,2),2)</f>
        <v>4616.54</v>
      </c>
      <c r="J50" s="1" t="e">
        <f>VLOOKUP(ORÇ!A50,'TRANSP.'!$A$1:$J$9967,1,0)</f>
        <v>#N/A</v>
      </c>
    </row>
    <row r="51" spans="1:10" ht="15" customHeight="1">
      <c r="A51" s="2">
        <v>42505</v>
      </c>
      <c r="B51" s="3" t="s">
        <v>14</v>
      </c>
      <c r="C51" s="225" t="s">
        <v>416</v>
      </c>
      <c r="D51" s="8" t="s">
        <v>389</v>
      </c>
      <c r="E51" s="9" t="s">
        <v>313</v>
      </c>
      <c r="F51" s="626">
        <f>VLOOKUP(C51,MEMORIA!$A$1:$Z$385,16,0)</f>
        <v>656</v>
      </c>
      <c r="G51" s="9">
        <v>21.213104119364253</v>
      </c>
      <c r="H51" s="9">
        <f>G51*(1+$F$2)</f>
        <v>26.16</v>
      </c>
      <c r="I51" s="10">
        <f>ROUND(ROUND(F51,2)*ROUND(H51,2),2)</f>
        <v>17160.96</v>
      </c>
      <c r="J51" s="1">
        <f>VLOOKUP(ORÇ!A51,'TRANSP.'!$A$1:$J$9967,1,0)</f>
        <v>42505</v>
      </c>
    </row>
    <row r="52" spans="1:10" ht="22.5">
      <c r="A52" s="114">
        <v>30304</v>
      </c>
      <c r="B52" s="38" t="s">
        <v>436</v>
      </c>
      <c r="C52" s="225" t="s">
        <v>579</v>
      </c>
      <c r="D52" s="8" t="s">
        <v>562</v>
      </c>
      <c r="E52" s="9" t="s">
        <v>563</v>
      </c>
      <c r="F52" s="141">
        <f>VLOOKUP(C52,MEMORIA!$A$1:$Z$385,16,0)</f>
        <v>30.016500000000004</v>
      </c>
      <c r="G52" s="9">
        <v>62.93</v>
      </c>
      <c r="H52" s="9">
        <f>G52*(1+$F$2)</f>
        <v>77.605276</v>
      </c>
      <c r="I52" s="10">
        <f>ROUND(ROUND(F52,2)*ROUND(H52,2),2)</f>
        <v>2329.85</v>
      </c>
      <c r="J52" s="1" t="e">
        <f>VLOOKUP(ORÇ!A52,'TRANSP.'!$A$1:$J$9967,1,0)</f>
        <v>#N/A</v>
      </c>
    </row>
    <row r="53" spans="1:10" ht="15" customHeight="1">
      <c r="A53" s="662"/>
      <c r="B53" s="663"/>
      <c r="C53" s="12" t="s">
        <v>320</v>
      </c>
      <c r="D53" s="143" t="s">
        <v>439</v>
      </c>
      <c r="E53" s="144"/>
      <c r="F53" s="144"/>
      <c r="G53" s="144"/>
      <c r="H53" s="144"/>
      <c r="I53" s="145">
        <f>SUM(I54:I57)</f>
        <v>42060.66</v>
      </c>
      <c r="J53" s="1" t="e">
        <f>VLOOKUP(ORÇ!A53,'TRANSP.'!$A$1:$J$9967,1,0)</f>
        <v>#N/A</v>
      </c>
    </row>
    <row r="54" spans="1:10" ht="15" customHeight="1">
      <c r="A54" s="485">
        <v>4011209</v>
      </c>
      <c r="B54" s="38" t="s">
        <v>40</v>
      </c>
      <c r="C54" s="225" t="s">
        <v>417</v>
      </c>
      <c r="D54" s="8" t="s">
        <v>567</v>
      </c>
      <c r="E54" s="9" t="s">
        <v>146</v>
      </c>
      <c r="F54" s="141">
        <f>VLOOKUP(C54,MEMORIA!$A$1:$Z$385,16,0)</f>
        <v>656</v>
      </c>
      <c r="G54" s="9">
        <v>1</v>
      </c>
      <c r="H54" s="9">
        <f>G54*(1+$F$2)</f>
        <v>1.2332</v>
      </c>
      <c r="I54" s="10">
        <f>ROUND(ROUND(F54,2)*ROUND(H54,2),2)</f>
        <v>806.88</v>
      </c>
      <c r="J54" s="1" t="e">
        <f>VLOOKUP(ORÇ!A54,'TRANSP.'!$A$1:$J$9967,1,0)</f>
        <v>#N/A</v>
      </c>
    </row>
    <row r="55" spans="1:10" ht="15" customHeight="1">
      <c r="A55" s="485">
        <v>4011276</v>
      </c>
      <c r="B55" s="38" t="s">
        <v>40</v>
      </c>
      <c r="C55" s="225" t="s">
        <v>418</v>
      </c>
      <c r="D55" s="8" t="s">
        <v>391</v>
      </c>
      <c r="E55" s="9" t="s">
        <v>4</v>
      </c>
      <c r="F55" s="141">
        <f>VLOOKUP(C55,MEMORIA!$A$1:$Z$385,16,0)</f>
        <v>131.20000000000002</v>
      </c>
      <c r="G55" s="9">
        <v>167.64</v>
      </c>
      <c r="H55" s="9">
        <f>G55*(1+$F$2)</f>
        <v>206.733648</v>
      </c>
      <c r="I55" s="10">
        <f>ROUND(ROUND(F55,2)*ROUND(H55,2),2)</f>
        <v>27122.98</v>
      </c>
      <c r="J55" s="1">
        <f>VLOOKUP(ORÇ!A55,'TRANSP.'!$A$1:$J$9967,1,0)</f>
        <v>4011276</v>
      </c>
    </row>
    <row r="56" spans="1:10" ht="15" customHeight="1">
      <c r="A56" s="114">
        <v>4011352</v>
      </c>
      <c r="B56" s="38" t="s">
        <v>40</v>
      </c>
      <c r="C56" s="225" t="s">
        <v>419</v>
      </c>
      <c r="D56" s="8" t="s">
        <v>399</v>
      </c>
      <c r="E56" s="9" t="s">
        <v>146</v>
      </c>
      <c r="F56" s="141">
        <f>VLOOKUP(C56,MEMORIA!$A$1:$Z$385,16,0)</f>
        <v>656</v>
      </c>
      <c r="G56" s="9">
        <v>0.39</v>
      </c>
      <c r="H56" s="9">
        <f>G56*(1+$F$2)</f>
        <v>0.48094800000000004</v>
      </c>
      <c r="I56" s="10">
        <f>ROUND(ROUND(F56,2)*ROUND(H56,2),2)</f>
        <v>314.88</v>
      </c>
      <c r="J56" s="1" t="e">
        <f>VLOOKUP(ORÇ!A56,'TRANSP.'!$A$1:$J$9967,1,0)</f>
        <v>#N/A</v>
      </c>
    </row>
    <row r="57" spans="1:10" ht="15" customHeight="1">
      <c r="A57" s="114">
        <v>4011463</v>
      </c>
      <c r="B57" s="38" t="s">
        <v>40</v>
      </c>
      <c r="C57" s="225" t="s">
        <v>420</v>
      </c>
      <c r="D57" s="8" t="s">
        <v>343</v>
      </c>
      <c r="E57" s="9" t="s">
        <v>5</v>
      </c>
      <c r="F57" s="141">
        <f>VLOOKUP(C57,MEMORIA!$A$1:$Z$385,16,0)</f>
        <v>62.976</v>
      </c>
      <c r="G57" s="9">
        <v>177.89</v>
      </c>
      <c r="H57" s="9">
        <f>G57*(1+$F$2)</f>
        <v>219.37394799999998</v>
      </c>
      <c r="I57" s="10">
        <f>ROUND(ROUND(F57,2)*ROUND(H57,2),2)</f>
        <v>13815.92</v>
      </c>
      <c r="J57" s="1">
        <f>VLOOKUP(ORÇ!A57,'TRANSP.'!$A$1:$J$9967,1,0)</f>
        <v>4011463</v>
      </c>
    </row>
    <row r="58" spans="1:10" ht="15" customHeight="1">
      <c r="A58" s="662"/>
      <c r="B58" s="663"/>
      <c r="C58" s="12" t="s">
        <v>323</v>
      </c>
      <c r="D58" s="143" t="s">
        <v>438</v>
      </c>
      <c r="E58" s="144"/>
      <c r="F58" s="144"/>
      <c r="G58" s="144"/>
      <c r="H58" s="144"/>
      <c r="I58" s="145">
        <f>SUM(I59:I61)</f>
        <v>58399.979999999996</v>
      </c>
      <c r="J58" s="1" t="e">
        <f>VLOOKUP(ORÇ!A58,'TRANSP.'!$A$1:$J$9967,1,0)</f>
        <v>#N/A</v>
      </c>
    </row>
    <row r="59" spans="1:10" ht="15" customHeight="1">
      <c r="A59" s="114">
        <f>COMPS!$B$142</f>
        <v>33001</v>
      </c>
      <c r="B59" s="38" t="s">
        <v>44</v>
      </c>
      <c r="C59" s="225" t="s">
        <v>421</v>
      </c>
      <c r="D59" s="8" t="str">
        <f>VLOOKUP(A59,COMPS!$B$1:$N$880,2,0)</f>
        <v>Varrição e Limpeza de Superfície</v>
      </c>
      <c r="E59" s="9" t="str">
        <f>VLOOKUP(A59,COMPS!$B$1:$N$880,10,0)</f>
        <v>m²</v>
      </c>
      <c r="F59" s="141">
        <f>VLOOKUP(C59,MEMORIA!$A$1:$Z$385,16,0)</f>
        <v>2552.4969999999985</v>
      </c>
      <c r="G59" s="9">
        <f>VLOOKUP(A59,COMPS!$B$1:$N$880,11,0)</f>
        <v>1.21</v>
      </c>
      <c r="H59" s="9">
        <f>G59*(1+$F$2)</f>
        <v>1.492172</v>
      </c>
      <c r="I59" s="10">
        <f>ROUND(ROUND(F59,2)*ROUND(H59,2),2)</f>
        <v>3803.23</v>
      </c>
      <c r="J59" s="1" t="e">
        <f>VLOOKUP(ORÇ!A59,'TRANSP.'!$A$1:$J$9967,1,0)</f>
        <v>#N/A</v>
      </c>
    </row>
    <row r="60" spans="1:10" ht="15" customHeight="1">
      <c r="A60" s="114">
        <v>4011353</v>
      </c>
      <c r="B60" s="38" t="s">
        <v>40</v>
      </c>
      <c r="C60" s="225" t="s">
        <v>422</v>
      </c>
      <c r="D60" s="8" t="s">
        <v>248</v>
      </c>
      <c r="E60" s="9" t="s">
        <v>146</v>
      </c>
      <c r="F60" s="141">
        <f>VLOOKUP(C60,MEMORIA!$A$1:$Z$385,16,0)</f>
        <v>2552.4969999999985</v>
      </c>
      <c r="G60" s="9">
        <v>0.27</v>
      </c>
      <c r="H60" s="9">
        <f>G60*(1+$F$2)</f>
        <v>0.33296400000000004</v>
      </c>
      <c r="I60" s="10">
        <f>ROUND(ROUND(F60,2)*ROUND(H60,2),2)</f>
        <v>842.33</v>
      </c>
      <c r="J60" s="1" t="e">
        <f>VLOOKUP(ORÇ!A60,'TRANSP.'!$A$1:$J$9967,1,0)</f>
        <v>#N/A</v>
      </c>
    </row>
    <row r="61" spans="1:10" ht="15" customHeight="1">
      <c r="A61" s="114">
        <v>4011463</v>
      </c>
      <c r="B61" s="38" t="s">
        <v>40</v>
      </c>
      <c r="C61" s="225" t="s">
        <v>423</v>
      </c>
      <c r="D61" s="8" t="s">
        <v>343</v>
      </c>
      <c r="E61" s="9" t="s">
        <v>5</v>
      </c>
      <c r="F61" s="141">
        <f>VLOOKUP(C61,MEMORIA!$A$1:$Z$385,16,0)</f>
        <v>245.03971199999987</v>
      </c>
      <c r="G61" s="9">
        <v>177.89</v>
      </c>
      <c r="H61" s="9">
        <f>G61*(1+$F$2)</f>
        <v>219.37394799999998</v>
      </c>
      <c r="I61" s="10">
        <f>ROUND(ROUND(F61,2)*ROUND(H61,2),2)</f>
        <v>53754.42</v>
      </c>
      <c r="J61" s="1">
        <f>VLOOKUP(ORÇ!A61,'TRANSP.'!$A$1:$J$9967,1,0)</f>
        <v>4011463</v>
      </c>
    </row>
    <row r="62" spans="1:10" ht="15" customHeight="1">
      <c r="A62" s="662"/>
      <c r="B62" s="663"/>
      <c r="C62" s="12" t="s">
        <v>324</v>
      </c>
      <c r="D62" s="143" t="s">
        <v>204</v>
      </c>
      <c r="E62" s="144"/>
      <c r="F62" s="144"/>
      <c r="G62" s="144"/>
      <c r="H62" s="144"/>
      <c r="I62" s="145">
        <f>SUM(I63:I68)</f>
        <v>137236.91</v>
      </c>
      <c r="J62" s="1" t="e">
        <f>VLOOKUP(ORÇ!A62,'TRANSP.'!$A$1:$J$9967,1,0)</f>
        <v>#N/A</v>
      </c>
    </row>
    <row r="63" spans="1:10" ht="15" customHeight="1">
      <c r="A63" s="114" t="s">
        <v>143</v>
      </c>
      <c r="B63" s="38" t="s">
        <v>40</v>
      </c>
      <c r="C63" s="225" t="s">
        <v>424</v>
      </c>
      <c r="D63" s="139" t="s">
        <v>340</v>
      </c>
      <c r="E63" s="140" t="s">
        <v>5</v>
      </c>
      <c r="F63" s="141">
        <f>VLOOKUP(C63,MEMORIA!$A$1:$Z$385,16,0)</f>
        <v>19.86535013915519</v>
      </c>
      <c r="G63" s="9" t="s">
        <v>50</v>
      </c>
      <c r="H63" s="9">
        <v>6117.474595324801</v>
      </c>
      <c r="I63" s="10">
        <f aca="true" t="shared" si="6" ref="I63:I68">ROUND(ROUND(F63,2)*ROUND(H63,2),2)</f>
        <v>121554.13</v>
      </c>
      <c r="J63" s="1" t="e">
        <f>VLOOKUP(ORÇ!A63,'TRANSP.'!$A$1:$J$9967,1,0)</f>
        <v>#N/A</v>
      </c>
    </row>
    <row r="64" spans="1:10" ht="15" customHeight="1">
      <c r="A64" s="114" t="s">
        <v>144</v>
      </c>
      <c r="B64" s="38" t="s">
        <v>40</v>
      </c>
      <c r="C64" s="225" t="s">
        <v>425</v>
      </c>
      <c r="D64" s="139" t="s">
        <v>386</v>
      </c>
      <c r="E64" s="140" t="s">
        <v>5</v>
      </c>
      <c r="F64" s="141">
        <f>VLOOKUP(C64,MEMORIA!$A$1:$Z$385,16,0)</f>
        <v>0.2952</v>
      </c>
      <c r="G64" s="9" t="s">
        <v>50</v>
      </c>
      <c r="H64" s="9">
        <v>4691.719703721772</v>
      </c>
      <c r="I64" s="10">
        <f t="shared" si="6"/>
        <v>1407.52</v>
      </c>
      <c r="J64" s="1" t="e">
        <f>VLOOKUP(ORÇ!A64,'TRANSP.'!$A$1:$J$9967,1,0)</f>
        <v>#N/A</v>
      </c>
    </row>
    <row r="65" spans="1:10" ht="15" customHeight="1">
      <c r="A65" s="114" t="s">
        <v>338</v>
      </c>
      <c r="B65" s="38" t="s">
        <v>40</v>
      </c>
      <c r="C65" s="225" t="s">
        <v>426</v>
      </c>
      <c r="D65" s="139" t="s">
        <v>152</v>
      </c>
      <c r="E65" s="140" t="s">
        <v>5</v>
      </c>
      <c r="F65" s="141">
        <f>VLOOKUP(C65,MEMORIA!$A$1:$Z$385,16,0)</f>
        <v>1.1486236499999993</v>
      </c>
      <c r="G65" s="9" t="s">
        <v>50</v>
      </c>
      <c r="H65" s="9">
        <v>4400.732675573076</v>
      </c>
      <c r="I65" s="10">
        <f t="shared" si="6"/>
        <v>5060.84</v>
      </c>
      <c r="J65" s="1" t="e">
        <f>VLOOKUP(ORÇ!A65,'TRANSP.'!$A$1:$J$9967,1,0)</f>
        <v>#N/A</v>
      </c>
    </row>
    <row r="66" spans="1:10" ht="15" customHeight="1">
      <c r="A66" s="114" t="s">
        <v>339</v>
      </c>
      <c r="B66" s="38" t="s">
        <v>40</v>
      </c>
      <c r="C66" s="225" t="s">
        <v>427</v>
      </c>
      <c r="D66" s="139" t="s">
        <v>341</v>
      </c>
      <c r="E66" s="140" t="s">
        <v>5</v>
      </c>
      <c r="F66" s="141">
        <f>VLOOKUP(C66,MEMORIA!$A$1:$Z$385,16,0)</f>
        <v>19.86535013915519</v>
      </c>
      <c r="G66" s="9" t="s">
        <v>50</v>
      </c>
      <c r="H66" s="9">
        <v>432.3271533012048</v>
      </c>
      <c r="I66" s="10">
        <f t="shared" si="6"/>
        <v>8590.4</v>
      </c>
      <c r="J66" s="1" t="e">
        <f>VLOOKUP(ORÇ!A66,'TRANSP.'!$A$1:$J$9967,1,0)</f>
        <v>#N/A</v>
      </c>
    </row>
    <row r="67" spans="1:10" ht="15" customHeight="1">
      <c r="A67" s="114" t="s">
        <v>384</v>
      </c>
      <c r="B67" s="38" t="s">
        <v>40</v>
      </c>
      <c r="C67" s="225" t="s">
        <v>428</v>
      </c>
      <c r="D67" s="139" t="s">
        <v>387</v>
      </c>
      <c r="E67" s="140" t="s">
        <v>5</v>
      </c>
      <c r="F67" s="141">
        <f>VLOOKUP(C67,MEMORIA!$A$1:$Z$385,16,0)</f>
        <v>0.2952</v>
      </c>
      <c r="G67" s="9" t="s">
        <v>50</v>
      </c>
      <c r="H67" s="9">
        <v>430.3563514216868</v>
      </c>
      <c r="I67" s="10">
        <f t="shared" si="6"/>
        <v>129.11</v>
      </c>
      <c r="J67" s="1" t="e">
        <f>VLOOKUP(ORÇ!A67,'TRANSP.'!$A$1:$J$9967,1,0)</f>
        <v>#N/A</v>
      </c>
    </row>
    <row r="68" spans="1:10" ht="15" customHeight="1">
      <c r="A68" s="114" t="s">
        <v>385</v>
      </c>
      <c r="B68" s="38" t="s">
        <v>40</v>
      </c>
      <c r="C68" s="225" t="s">
        <v>429</v>
      </c>
      <c r="D68" s="520" t="s">
        <v>153</v>
      </c>
      <c r="E68" s="140" t="s">
        <v>5</v>
      </c>
      <c r="F68" s="141">
        <f>VLOOKUP(C68,MEMORIA!$A$1:$Z$385,16,0)</f>
        <v>1.1486236499999993</v>
      </c>
      <c r="G68" s="9" t="s">
        <v>50</v>
      </c>
      <c r="H68" s="9">
        <v>430.3563514216868</v>
      </c>
      <c r="I68" s="10">
        <f t="shared" si="6"/>
        <v>494.91</v>
      </c>
      <c r="J68" s="1" t="e">
        <f>VLOOKUP(ORÇ!A68,'TRANSP.'!$A$1:$J$9967,1,0)</f>
        <v>#N/A</v>
      </c>
    </row>
    <row r="69" spans="1:10" ht="15" customHeight="1">
      <c r="A69" s="667" t="str">
        <f>_xlfn.CONCAT("SUB-TOTAL ",D48)</f>
        <v>SUB-TOTAL PAVIMENTAÇÃO</v>
      </c>
      <c r="B69" s="668"/>
      <c r="C69" s="668"/>
      <c r="D69" s="668"/>
      <c r="E69" s="668"/>
      <c r="F69" s="668"/>
      <c r="G69" s="668"/>
      <c r="H69" s="669"/>
      <c r="I69" s="6">
        <f>I53+I58+I62+I49</f>
        <v>261804.9</v>
      </c>
      <c r="J69" s="1" t="e">
        <f>VLOOKUP(ORÇ!A69,'TRANSP.'!$A$1:$J$9967,1,0)</f>
        <v>#N/A</v>
      </c>
    </row>
    <row r="70" spans="1:10" ht="4.5" customHeight="1">
      <c r="A70" s="679"/>
      <c r="B70" s="680"/>
      <c r="C70" s="680"/>
      <c r="D70" s="680"/>
      <c r="E70" s="680"/>
      <c r="F70" s="680"/>
      <c r="G70" s="680"/>
      <c r="H70" s="680"/>
      <c r="I70" s="681"/>
      <c r="J70" s="1" t="e">
        <f>VLOOKUP(ORÇ!A70,'TRANSP.'!$A$1:$J$9967,1,0)</f>
        <v>#N/A</v>
      </c>
    </row>
    <row r="71" spans="1:10" ht="15" customHeight="1">
      <c r="A71" s="662"/>
      <c r="B71" s="663"/>
      <c r="C71" s="12" t="s">
        <v>0</v>
      </c>
      <c r="D71" s="664" t="s">
        <v>127</v>
      </c>
      <c r="E71" s="665"/>
      <c r="F71" s="665"/>
      <c r="G71" s="665"/>
      <c r="H71" s="665"/>
      <c r="I71" s="666"/>
      <c r="J71" s="1" t="e">
        <f>VLOOKUP(ORÇ!A71,'TRANSP.'!$A$1:$J$9967,1,0)</f>
        <v>#N/A</v>
      </c>
    </row>
    <row r="72" spans="1:10" ht="15" customHeight="1">
      <c r="A72" s="230">
        <v>5213571</v>
      </c>
      <c r="B72" s="225" t="s">
        <v>40</v>
      </c>
      <c r="C72" s="226" t="s">
        <v>321</v>
      </c>
      <c r="D72" s="227" t="s">
        <v>157</v>
      </c>
      <c r="E72" s="228" t="s">
        <v>146</v>
      </c>
      <c r="F72" s="141">
        <f>VLOOKUP(C72,MEMORIA!$A$1:$Z$385,16,0)</f>
        <v>2.9899999999999998</v>
      </c>
      <c r="G72" s="228">
        <v>479.36</v>
      </c>
      <c r="H72" s="9">
        <f>G72*(1+$F$2)</f>
        <v>591.1467520000001</v>
      </c>
      <c r="I72" s="229">
        <f>ROUND(ROUND(F72,2)*ROUND(H72,2),2)</f>
        <v>1767.54</v>
      </c>
      <c r="J72" s="1">
        <f>VLOOKUP(ORÇ!A72,'TRANSP.'!$A$1:$J$9967,1,0)</f>
        <v>5213571</v>
      </c>
    </row>
    <row r="73" spans="1:10" ht="15" customHeight="1">
      <c r="A73" s="2">
        <v>5216111</v>
      </c>
      <c r="B73" s="3" t="s">
        <v>40</v>
      </c>
      <c r="C73" s="226" t="s">
        <v>430</v>
      </c>
      <c r="D73" s="8" t="s">
        <v>158</v>
      </c>
      <c r="E73" s="9" t="s">
        <v>89</v>
      </c>
      <c r="F73" s="141">
        <f>VLOOKUP(C73,MEMORIA!$A$1:$Z$385,16,0)</f>
        <v>11</v>
      </c>
      <c r="G73" s="9">
        <v>108.91</v>
      </c>
      <c r="H73" s="9">
        <f>G73*(1+$F$2)</f>
        <v>134.307812</v>
      </c>
      <c r="I73" s="10">
        <f>ROUND(ROUND(F73,2)*ROUND(H73,2),2)</f>
        <v>1477.41</v>
      </c>
      <c r="J73" s="1">
        <f>VLOOKUP(ORÇ!A73,'TRANSP.'!$A$1:$J$9967,1,0)</f>
        <v>5216111</v>
      </c>
    </row>
    <row r="74" spans="1:10" ht="15" customHeight="1">
      <c r="A74" s="37">
        <v>5213401</v>
      </c>
      <c r="B74" s="3" t="s">
        <v>40</v>
      </c>
      <c r="C74" s="226" t="s">
        <v>431</v>
      </c>
      <c r="D74" s="8" t="s">
        <v>249</v>
      </c>
      <c r="E74" s="9" t="s">
        <v>146</v>
      </c>
      <c r="F74" s="141">
        <f>VLOOKUP(C74,MEMORIA!$A$1:$Z$385,16,0)</f>
        <v>118.26</v>
      </c>
      <c r="G74" s="9">
        <v>34.68</v>
      </c>
      <c r="H74" s="9">
        <f>G74*(1+$F$2)</f>
        <v>42.767376</v>
      </c>
      <c r="I74" s="10">
        <f>ROUND(ROUND(F74,2)*ROUND(H74,2),2)</f>
        <v>5057.98</v>
      </c>
      <c r="J74" s="1">
        <f>VLOOKUP(ORÇ!A74,'TRANSP.'!$A$1:$J$9967,1,0)</f>
        <v>5213401</v>
      </c>
    </row>
    <row r="75" spans="1:10" ht="15" customHeight="1">
      <c r="A75" s="37">
        <v>5213405</v>
      </c>
      <c r="B75" s="3" t="s">
        <v>40</v>
      </c>
      <c r="C75" s="226" t="s">
        <v>432</v>
      </c>
      <c r="D75" s="8" t="s">
        <v>568</v>
      </c>
      <c r="E75" s="9" t="s">
        <v>146</v>
      </c>
      <c r="F75" s="141">
        <f>VLOOKUP(C75,MEMORIA!$A$1:$Z$385,16,0)</f>
        <v>35.5</v>
      </c>
      <c r="G75" s="9">
        <v>46.79</v>
      </c>
      <c r="H75" s="9">
        <f>G75*(1+$F$2)</f>
        <v>57.701428</v>
      </c>
      <c r="I75" s="10">
        <f>ROUND(ROUND(F75,2)*ROUND(H75,2),2)</f>
        <v>2048.35</v>
      </c>
      <c r="J75" s="1">
        <f>VLOOKUP(ORÇ!A75,'TRANSP.'!$A$1:$J$9967,1,0)</f>
        <v>5213405</v>
      </c>
    </row>
    <row r="76" spans="1:10" ht="15" customHeight="1">
      <c r="A76" s="37">
        <v>5213362</v>
      </c>
      <c r="B76" s="3" t="s">
        <v>40</v>
      </c>
      <c r="C76" s="226" t="s">
        <v>452</v>
      </c>
      <c r="D76" s="8" t="s">
        <v>495</v>
      </c>
      <c r="E76" s="9" t="s">
        <v>89</v>
      </c>
      <c r="F76" s="141">
        <f>VLOOKUP(C76,MEMORIA!$A$1:$Z$385,16,0)</f>
        <v>14</v>
      </c>
      <c r="G76" s="9">
        <v>80.91</v>
      </c>
      <c r="H76" s="9">
        <f>G76*(1+$F$2)</f>
        <v>99.778212</v>
      </c>
      <c r="I76" s="10">
        <f>ROUND(ROUND(F76,2)*ROUND(H76,2),2)</f>
        <v>1396.92</v>
      </c>
      <c r="J76" s="1">
        <f>VLOOKUP(ORÇ!A76,'TRANSP.'!$A$1:$J$9967,1,0)</f>
        <v>5213362</v>
      </c>
    </row>
    <row r="77" spans="1:10" ht="15" customHeight="1">
      <c r="A77" s="667" t="str">
        <f>_xlfn.CONCAT("SUB-TOTAL ",D71)</f>
        <v>SUB-TOTAL SINALIZAÇÃO </v>
      </c>
      <c r="B77" s="668"/>
      <c r="C77" s="668"/>
      <c r="D77" s="668"/>
      <c r="E77" s="668"/>
      <c r="F77" s="668"/>
      <c r="G77" s="668"/>
      <c r="H77" s="669"/>
      <c r="I77" s="6">
        <f>SUM(I72:I76)</f>
        <v>11748.2</v>
      </c>
      <c r="J77" s="1" t="e">
        <f>VLOOKUP(ORÇ!A77,'TRANSP.'!$A$1:$J$9967,1,0)</f>
        <v>#N/A</v>
      </c>
    </row>
    <row r="78" spans="1:10" ht="4.5" customHeight="1">
      <c r="A78" s="679"/>
      <c r="B78" s="680"/>
      <c r="C78" s="680"/>
      <c r="D78" s="680"/>
      <c r="E78" s="680"/>
      <c r="F78" s="680"/>
      <c r="G78" s="680"/>
      <c r="H78" s="680"/>
      <c r="I78" s="681"/>
      <c r="J78" s="1" t="e">
        <f>VLOOKUP(ORÇ!A78,'TRANSP.'!$A$1:$J$9967,1,0)</f>
        <v>#N/A</v>
      </c>
    </row>
    <row r="79" spans="1:10" ht="15" customHeight="1">
      <c r="A79" s="662"/>
      <c r="B79" s="663"/>
      <c r="C79" s="12" t="s">
        <v>325</v>
      </c>
      <c r="D79" s="664" t="s">
        <v>455</v>
      </c>
      <c r="E79" s="665"/>
      <c r="F79" s="665"/>
      <c r="G79" s="665"/>
      <c r="H79" s="665"/>
      <c r="I79" s="666"/>
      <c r="J79" s="1" t="e">
        <f>VLOOKUP(ORÇ!A79,'TRANSP.'!$A$1:$J$9967,1,0)</f>
        <v>#N/A</v>
      </c>
    </row>
    <row r="80" spans="1:10" ht="22.5">
      <c r="A80" s="114">
        <v>130112</v>
      </c>
      <c r="B80" s="38" t="s">
        <v>436</v>
      </c>
      <c r="C80" s="225" t="s">
        <v>326</v>
      </c>
      <c r="D80" s="8" t="s">
        <v>497</v>
      </c>
      <c r="E80" s="9" t="s">
        <v>569</v>
      </c>
      <c r="F80" s="141">
        <f>VLOOKUP(C80,MEMORIA!$A$1:$Z$385,16,0)</f>
        <v>646.3499999999999</v>
      </c>
      <c r="G80" s="9">
        <v>42.96</v>
      </c>
      <c r="H80" s="9">
        <f>G80*(1+$F$2)</f>
        <v>52.978272000000004</v>
      </c>
      <c r="I80" s="10">
        <f>ROUND(ROUND(F80,2)*ROUND(H80,2),2)</f>
        <v>34243.62</v>
      </c>
      <c r="J80" s="1">
        <f>VLOOKUP(ORÇ!A80,'TRANSP.'!$A$1:$J$9967,1,0)</f>
        <v>130112</v>
      </c>
    </row>
    <row r="81" spans="1:10" ht="22.5">
      <c r="A81" s="114">
        <v>130210</v>
      </c>
      <c r="B81" s="38" t="s">
        <v>436</v>
      </c>
      <c r="C81" s="225" t="s">
        <v>327</v>
      </c>
      <c r="D81" s="8" t="s">
        <v>499</v>
      </c>
      <c r="E81" s="9" t="s">
        <v>569</v>
      </c>
      <c r="F81" s="141">
        <f>VLOOKUP(C81,MEMORIA!$A$1:$Z$385,16,0)</f>
        <v>514.8</v>
      </c>
      <c r="G81" s="9">
        <v>57.21</v>
      </c>
      <c r="H81" s="9">
        <f>G81*(1+$F$2)</f>
        <v>70.551372</v>
      </c>
      <c r="I81" s="10">
        <f>ROUND(ROUND(F81,2)*ROUND(H81,2),2)</f>
        <v>36319.14</v>
      </c>
      <c r="J81" s="1">
        <f>VLOOKUP(ORÇ!A81,'TRANSP.'!$A$1:$J$9967,1,0)</f>
        <v>130210</v>
      </c>
    </row>
    <row r="82" spans="1:10" ht="22.5">
      <c r="A82" s="114">
        <v>130202</v>
      </c>
      <c r="B82" s="38" t="s">
        <v>436</v>
      </c>
      <c r="C82" s="225" t="s">
        <v>328</v>
      </c>
      <c r="D82" s="8" t="s">
        <v>501</v>
      </c>
      <c r="E82" s="9" t="s">
        <v>569</v>
      </c>
      <c r="F82" s="141">
        <f>VLOOKUP(C82,MEMORIA!$A$1:$Z$385,16,0)</f>
        <v>131.55</v>
      </c>
      <c r="G82" s="9">
        <v>47.9</v>
      </c>
      <c r="H82" s="9">
        <f>G82*(1+$F$2)</f>
        <v>59.070280000000004</v>
      </c>
      <c r="I82" s="10">
        <f>ROUND(ROUND(F82,2)*ROUND(H82,2),2)</f>
        <v>7770.66</v>
      </c>
      <c r="J82" s="1">
        <f>VLOOKUP(ORÇ!A82,'TRANSP.'!$A$1:$J$9967,1,0)</f>
        <v>130202</v>
      </c>
    </row>
    <row r="83" spans="1:10" ht="22.5">
      <c r="A83" s="114">
        <v>40946</v>
      </c>
      <c r="B83" s="38" t="s">
        <v>14</v>
      </c>
      <c r="C83" s="225" t="s">
        <v>329</v>
      </c>
      <c r="D83" s="8" t="s">
        <v>570</v>
      </c>
      <c r="E83" s="9" t="s">
        <v>313</v>
      </c>
      <c r="F83" s="141">
        <f>VLOOKUP(C83,MEMORIA!$A$1:$Z$385,16,0)</f>
        <v>117.58</v>
      </c>
      <c r="G83" s="9">
        <v>87.22834901070385</v>
      </c>
      <c r="H83" s="9">
        <f>G83*(1+$F$2)</f>
        <v>107.57</v>
      </c>
      <c r="I83" s="10">
        <f>ROUND(ROUND(F83,2)*ROUND(H83,2),2)</f>
        <v>12648.08</v>
      </c>
      <c r="J83" s="1">
        <f>VLOOKUP(ORÇ!A83,'TRANSP.'!$A$1:$J$9967,1,0)</f>
        <v>40946</v>
      </c>
    </row>
    <row r="84" spans="1:10" ht="22.5">
      <c r="A84" s="114">
        <v>40915</v>
      </c>
      <c r="B84" s="38" t="s">
        <v>14</v>
      </c>
      <c r="C84" s="225" t="s">
        <v>441</v>
      </c>
      <c r="D84" s="8" t="s">
        <v>571</v>
      </c>
      <c r="E84" s="9" t="s">
        <v>313</v>
      </c>
      <c r="F84" s="141">
        <f>VLOOKUP(C84,MEMORIA!$A$1:$Z$385,16,0)</f>
        <v>142.4</v>
      </c>
      <c r="G84" s="9">
        <v>98.46740188128446</v>
      </c>
      <c r="H84" s="9">
        <f aca="true" t="shared" si="7" ref="H84:H92">G84*(1+$F$2)</f>
        <v>121.43</v>
      </c>
      <c r="I84" s="10">
        <f aca="true" t="shared" si="8" ref="I84:I92">ROUND(ROUND(F84,2)*ROUND(H84,2),2)</f>
        <v>17291.63</v>
      </c>
      <c r="J84" s="1">
        <f>VLOOKUP(ORÇ!A84,'TRANSP.'!$A$1:$J$9967,1,0)</f>
        <v>40915</v>
      </c>
    </row>
    <row r="85" spans="1:10" ht="15.75" customHeight="1">
      <c r="A85" s="114">
        <v>40912</v>
      </c>
      <c r="B85" s="38" t="s">
        <v>14</v>
      </c>
      <c r="C85" s="225" t="s">
        <v>442</v>
      </c>
      <c r="D85" s="8" t="s">
        <v>509</v>
      </c>
      <c r="E85" s="9" t="s">
        <v>313</v>
      </c>
      <c r="F85" s="141">
        <f>VLOOKUP(C85,MEMORIA!$A$1:$Z$385,16,0)</f>
        <v>42.5</v>
      </c>
      <c r="G85" s="9">
        <v>96.40771975348686</v>
      </c>
      <c r="H85" s="9">
        <f t="shared" si="7"/>
        <v>118.89</v>
      </c>
      <c r="I85" s="10">
        <f t="shared" si="8"/>
        <v>5052.83</v>
      </c>
      <c r="J85" s="1">
        <f>VLOOKUP(ORÇ!A85,'TRANSP.'!$A$1:$J$9967,1,0)</f>
        <v>40912</v>
      </c>
    </row>
    <row r="86" spans="1:10" ht="15.75" customHeight="1">
      <c r="A86" s="114">
        <v>41246</v>
      </c>
      <c r="B86" s="38" t="s">
        <v>14</v>
      </c>
      <c r="C86" s="225" t="s">
        <v>443</v>
      </c>
      <c r="D86" s="8" t="s">
        <v>511</v>
      </c>
      <c r="E86" s="9" t="s">
        <v>308</v>
      </c>
      <c r="F86" s="141">
        <f>VLOOKUP(C86,MEMORIA!$A$1:$Z$385,16,0)</f>
        <v>16</v>
      </c>
      <c r="G86" s="9">
        <v>61.903989620499516</v>
      </c>
      <c r="H86" s="9">
        <f t="shared" si="7"/>
        <v>76.34</v>
      </c>
      <c r="I86" s="10">
        <f t="shared" si="8"/>
        <v>1221.44</v>
      </c>
      <c r="J86" s="1">
        <f>VLOOKUP(ORÇ!A86,'TRANSP.'!$A$1:$J$9967,1,0)</f>
        <v>41246</v>
      </c>
    </row>
    <row r="87" spans="1:10" ht="22.5">
      <c r="A87" s="114">
        <v>210304</v>
      </c>
      <c r="B87" s="38" t="s">
        <v>436</v>
      </c>
      <c r="C87" s="225" t="s">
        <v>456</v>
      </c>
      <c r="D87" s="8" t="s">
        <v>514</v>
      </c>
      <c r="E87" s="9" t="s">
        <v>186</v>
      </c>
      <c r="F87" s="141">
        <f>VLOOKUP(C87,MEMORIA!$A$1:$Z$385,16,0)</f>
        <v>18</v>
      </c>
      <c r="G87" s="9">
        <v>223.46</v>
      </c>
      <c r="H87" s="9">
        <f t="shared" si="7"/>
        <v>275.570872</v>
      </c>
      <c r="I87" s="10">
        <f t="shared" si="8"/>
        <v>4960.26</v>
      </c>
      <c r="J87" s="1">
        <f>VLOOKUP(ORÇ!A87,'TRANSP.'!$A$1:$J$9967,1,0)</f>
        <v>210304</v>
      </c>
    </row>
    <row r="88" spans="1:10" ht="15" customHeight="1">
      <c r="A88" s="114">
        <v>4413200</v>
      </c>
      <c r="B88" s="38" t="s">
        <v>40</v>
      </c>
      <c r="C88" s="225" t="s">
        <v>457</v>
      </c>
      <c r="D88" s="8" t="s">
        <v>515</v>
      </c>
      <c r="E88" s="9" t="s">
        <v>146</v>
      </c>
      <c r="F88" s="141">
        <f>VLOOKUP(C88,MEMORIA!$A$1:$Z$385,16,0)</f>
        <v>65</v>
      </c>
      <c r="G88" s="9">
        <v>11.6</v>
      </c>
      <c r="H88" s="9">
        <f t="shared" si="7"/>
        <v>14.30512</v>
      </c>
      <c r="I88" s="10">
        <f t="shared" si="8"/>
        <v>930.15</v>
      </c>
      <c r="J88" s="1">
        <f>VLOOKUP(ORÇ!A88,'TRANSP.'!$A$1:$J$9967,1,0)</f>
        <v>4413200</v>
      </c>
    </row>
    <row r="89" spans="1:10" ht="15" customHeight="1">
      <c r="A89" s="114">
        <v>98509</v>
      </c>
      <c r="B89" s="38" t="s">
        <v>145</v>
      </c>
      <c r="C89" s="225" t="s">
        <v>458</v>
      </c>
      <c r="D89" s="8" t="s">
        <v>572</v>
      </c>
      <c r="E89" s="9" t="s">
        <v>573</v>
      </c>
      <c r="F89" s="141">
        <f>VLOOKUP(C89,MEMORIA!$A$1:$Z$385,16,0)</f>
        <v>20</v>
      </c>
      <c r="G89" s="9">
        <v>42.47</v>
      </c>
      <c r="H89" s="9">
        <f t="shared" si="7"/>
        <v>52.374004</v>
      </c>
      <c r="I89" s="10">
        <f t="shared" si="8"/>
        <v>1047.4</v>
      </c>
      <c r="J89" s="1" t="e">
        <f>VLOOKUP(ORÇ!A89,'TRANSP.'!$A$1:$J$9967,1,0)</f>
        <v>#N/A</v>
      </c>
    </row>
    <row r="90" spans="1:10" ht="15" customHeight="1">
      <c r="A90" s="114">
        <v>98510</v>
      </c>
      <c r="B90" s="38" t="s">
        <v>145</v>
      </c>
      <c r="C90" s="225" t="s">
        <v>459</v>
      </c>
      <c r="D90" s="8" t="s">
        <v>574</v>
      </c>
      <c r="E90" s="9" t="s">
        <v>573</v>
      </c>
      <c r="F90" s="141">
        <f>VLOOKUP(C90,MEMORIA!$A$1:$Z$385,16,0)</f>
        <v>6</v>
      </c>
      <c r="G90" s="9">
        <v>64.96</v>
      </c>
      <c r="H90" s="9">
        <f t="shared" si="7"/>
        <v>80.108672</v>
      </c>
      <c r="I90" s="10">
        <f t="shared" si="8"/>
        <v>480.66</v>
      </c>
      <c r="J90" s="1" t="e">
        <f>VLOOKUP(ORÇ!A90,'TRANSP.'!$A$1:$J$9967,1,0)</f>
        <v>#N/A</v>
      </c>
    </row>
    <row r="91" spans="1:10" ht="22.5">
      <c r="A91" s="114">
        <v>98511</v>
      </c>
      <c r="B91" s="38" t="s">
        <v>145</v>
      </c>
      <c r="C91" s="225" t="s">
        <v>460</v>
      </c>
      <c r="D91" s="8" t="s">
        <v>575</v>
      </c>
      <c r="E91" s="9" t="s">
        <v>573</v>
      </c>
      <c r="F91" s="141">
        <f>VLOOKUP(C91,MEMORIA!$A$1:$Z$385,16,0)</f>
        <v>6</v>
      </c>
      <c r="G91" s="9">
        <v>122.77</v>
      </c>
      <c r="H91" s="9">
        <f t="shared" si="7"/>
        <v>151.399964</v>
      </c>
      <c r="I91" s="10">
        <f t="shared" si="8"/>
        <v>908.4</v>
      </c>
      <c r="J91" s="1" t="e">
        <f>VLOOKUP(ORÇ!A91,'TRANSP.'!$A$1:$J$9967,1,0)</f>
        <v>#N/A</v>
      </c>
    </row>
    <row r="92" spans="1:10" ht="15.75" customHeight="1">
      <c r="A92" s="114">
        <v>98516</v>
      </c>
      <c r="B92" s="38" t="s">
        <v>145</v>
      </c>
      <c r="C92" s="225" t="s">
        <v>461</v>
      </c>
      <c r="D92" s="8" t="s">
        <v>576</v>
      </c>
      <c r="E92" s="9" t="s">
        <v>573</v>
      </c>
      <c r="F92" s="141">
        <f>VLOOKUP(C92,MEMORIA!$A$1:$Z$385,16,0)</f>
        <v>12</v>
      </c>
      <c r="G92" s="9">
        <v>331.72</v>
      </c>
      <c r="H92" s="9">
        <f t="shared" si="7"/>
        <v>409.0771040000001</v>
      </c>
      <c r="I92" s="10">
        <f t="shared" si="8"/>
        <v>4908.96</v>
      </c>
      <c r="J92" s="1" t="e">
        <f>VLOOKUP(ORÇ!A92,'TRANSP.'!$A$1:$J$9967,1,0)</f>
        <v>#N/A</v>
      </c>
    </row>
    <row r="93" spans="1:9" ht="15" customHeight="1">
      <c r="A93" s="667" t="str">
        <f>_xlfn.CONCAT("SUB-TOTAL ",D79)</f>
        <v>SUB-TOTAL OBRAS COMPLEMENTARES E URBANISMO</v>
      </c>
      <c r="B93" s="668"/>
      <c r="C93" s="668"/>
      <c r="D93" s="668"/>
      <c r="E93" s="668"/>
      <c r="F93" s="668"/>
      <c r="G93" s="668"/>
      <c r="H93" s="669"/>
      <c r="I93" s="6">
        <f>SUM(I80:I92)</f>
        <v>127783.23000000001</v>
      </c>
    </row>
    <row r="94" spans="1:9" ht="4.5" customHeight="1">
      <c r="A94" s="679"/>
      <c r="B94" s="680"/>
      <c r="C94" s="680"/>
      <c r="D94" s="680"/>
      <c r="E94" s="680"/>
      <c r="F94" s="680"/>
      <c r="G94" s="680"/>
      <c r="H94" s="680"/>
      <c r="I94" s="681"/>
    </row>
    <row r="95" spans="1:9" ht="15" customHeight="1">
      <c r="A95" s="662"/>
      <c r="B95" s="663"/>
      <c r="C95" s="12" t="s">
        <v>330</v>
      </c>
      <c r="D95" s="664" t="s">
        <v>463</v>
      </c>
      <c r="E95" s="665"/>
      <c r="F95" s="665"/>
      <c r="G95" s="665"/>
      <c r="H95" s="665"/>
      <c r="I95" s="666"/>
    </row>
    <row r="96" spans="1:9" ht="15" customHeight="1">
      <c r="A96" s="662"/>
      <c r="B96" s="663"/>
      <c r="C96" s="12" t="s">
        <v>539</v>
      </c>
      <c r="D96" s="143" t="s">
        <v>540</v>
      </c>
      <c r="E96" s="144"/>
      <c r="F96" s="144"/>
      <c r="G96" s="144"/>
      <c r="H96" s="144"/>
      <c r="I96" s="145">
        <f>SUM(I97)</f>
        <v>4457.49</v>
      </c>
    </row>
    <row r="97" spans="1:9" ht="22.5">
      <c r="A97" s="114">
        <v>61001</v>
      </c>
      <c r="B97" s="38" t="s">
        <v>44</v>
      </c>
      <c r="C97" s="225" t="s">
        <v>331</v>
      </c>
      <c r="D97" s="8" t="str">
        <f>VLOOKUP(A97,COMPS!$B$1:$N$880,2,0)</f>
        <v>Padrão de entrada de energia elétrica, bifásico, entrada subterrânea, a 3 fios, carga instalada em muro de 9001 até 15000W - 220/127V, inclusive derivação de ramal de entrada aérea</v>
      </c>
      <c r="E97" s="9" t="str">
        <f>VLOOKUP(A97,COMPS!$B$1:$N$880,10,0)</f>
        <v>und</v>
      </c>
      <c r="F97" s="141">
        <f>VLOOKUP(C97,MEMORIA!$A$1:$Z$385,16,0)</f>
        <v>1</v>
      </c>
      <c r="G97" s="9">
        <f>VLOOKUP(A97,COMPS!$B$1:$N$880,11,0)</f>
        <v>3614.5699999999997</v>
      </c>
      <c r="H97" s="9">
        <f>G97*(1+$F$2)</f>
        <v>4457.487724</v>
      </c>
      <c r="I97" s="10">
        <f>ROUND(ROUND(F97,2)*ROUND(H97,2),2)</f>
        <v>4457.49</v>
      </c>
    </row>
    <row r="98" spans="1:9" ht="15" customHeight="1">
      <c r="A98" s="662"/>
      <c r="B98" s="663"/>
      <c r="C98" s="12" t="s">
        <v>541</v>
      </c>
      <c r="D98" s="143" t="s">
        <v>553</v>
      </c>
      <c r="E98" s="144"/>
      <c r="F98" s="144"/>
      <c r="G98" s="144"/>
      <c r="H98" s="144"/>
      <c r="I98" s="145">
        <f>SUM(I99:I100)</f>
        <v>81287.2</v>
      </c>
    </row>
    <row r="99" spans="1:9" ht="22.5">
      <c r="A99" s="114">
        <v>62001</v>
      </c>
      <c r="B99" s="38" t="s">
        <v>44</v>
      </c>
      <c r="C99" s="225" t="s">
        <v>332</v>
      </c>
      <c r="D99" s="8" t="str">
        <f>VLOOKUP(A99,COMPS!$B$1:$N$880,2,0)</f>
        <v>Fornecimento e instalação de poste de aço cônico continuo, reto, engatado, altura de até 7 metros, com luminária tipo chapéu chinês LED de potência 100W, com alimentação por rede subterrânea</v>
      </c>
      <c r="E99" s="9" t="str">
        <f>VLOOKUP(A99,COMPS!$B$1:$N$880,10,0)</f>
        <v>und</v>
      </c>
      <c r="F99" s="141">
        <f>VLOOKUP(C99,MEMORIA!$A$1:$Z$385,16,0)</f>
        <v>20</v>
      </c>
      <c r="G99" s="9">
        <f>VLOOKUP(A99,COMPS!$B$1:$N$880,11,0)</f>
        <v>3074.5499999999997</v>
      </c>
      <c r="H99" s="9">
        <f>G99*(1+$F$2)</f>
        <v>3791.5350599999997</v>
      </c>
      <c r="I99" s="10">
        <f>ROUND(ROUND(F99,2)*ROUND(H99,2),2)</f>
        <v>75830.8</v>
      </c>
    </row>
    <row r="100" spans="1:9" ht="15" customHeight="1">
      <c r="A100" s="114">
        <v>62002</v>
      </c>
      <c r="B100" s="38" t="s">
        <v>44</v>
      </c>
      <c r="C100" s="225" t="s">
        <v>333</v>
      </c>
      <c r="D100" s="8" t="str">
        <f>VLOOKUP(A100,COMPS!$B$1:$N$880,2,0)</f>
        <v>Fornecimento e instalação de sistema de aterramento dos postes metálicos</v>
      </c>
      <c r="E100" s="9" t="str">
        <f>VLOOKUP(A100,COMPS!$B$1:$N$880,10,0)</f>
        <v>und</v>
      </c>
      <c r="F100" s="141">
        <f>VLOOKUP(C100,MEMORIA!$A$1:$Z$385,16,0)</f>
        <v>20</v>
      </c>
      <c r="G100" s="9">
        <f>VLOOKUP(A100,COMPS!$B$1:$N$880,11,0)</f>
        <v>221.23</v>
      </c>
      <c r="H100" s="9">
        <f>G100*(1+$F$2)</f>
        <v>272.820836</v>
      </c>
      <c r="I100" s="10">
        <f>ROUND(ROUND(F100,2)*ROUND(H100,2),2)</f>
        <v>5456.4</v>
      </c>
    </row>
    <row r="101" spans="1:9" ht="15" customHeight="1">
      <c r="A101" s="662"/>
      <c r="B101" s="663"/>
      <c r="C101" s="12" t="s">
        <v>542</v>
      </c>
      <c r="D101" s="143" t="s">
        <v>554</v>
      </c>
      <c r="E101" s="144"/>
      <c r="F101" s="144"/>
      <c r="G101" s="144"/>
      <c r="H101" s="144"/>
      <c r="I101" s="145">
        <f>SUM(I102)</f>
        <v>7234</v>
      </c>
    </row>
    <row r="102" spans="1:9" ht="22.5">
      <c r="A102" s="114">
        <v>63001</v>
      </c>
      <c r="B102" s="38" t="s">
        <v>44</v>
      </c>
      <c r="C102" s="225" t="s">
        <v>545</v>
      </c>
      <c r="D102" s="8" t="str">
        <f>VLOOKUP(A102,COMPS!$B$1:$N$880,2,0)</f>
        <v>Fornecimento e instalação de eletroduto PEAD, diâmetro 1", marca ref. Kanaflex ou equivalente, inclusive abertura e fechamento rasgo</v>
      </c>
      <c r="E102" s="9" t="str">
        <f>VLOOKUP(A102,COMPS!$B$1:$N$880,10,0)</f>
        <v>m</v>
      </c>
      <c r="F102" s="141">
        <f>VLOOKUP(C102,MEMORIA!$A$1:$Z$385,16,0)</f>
        <v>200</v>
      </c>
      <c r="G102" s="9">
        <f>VLOOKUP(A102,COMPS!$B$1:$N$880,11,0)</f>
        <v>29.330000000000002</v>
      </c>
      <c r="H102" s="9">
        <f>G102*(1+$F$2)</f>
        <v>36.16975600000001</v>
      </c>
      <c r="I102" s="10">
        <f>ROUND(ROUND(F102,2)*ROUND(H102,2),2)</f>
        <v>7234</v>
      </c>
    </row>
    <row r="103" spans="1:9" ht="15" customHeight="1">
      <c r="A103" s="662"/>
      <c r="B103" s="663"/>
      <c r="C103" s="12" t="s">
        <v>543</v>
      </c>
      <c r="D103" s="143" t="s">
        <v>555</v>
      </c>
      <c r="E103" s="144"/>
      <c r="F103" s="144"/>
      <c r="G103" s="144"/>
      <c r="H103" s="144"/>
      <c r="I103" s="145">
        <f>SUM(I104:I105)</f>
        <v>16310.04</v>
      </c>
    </row>
    <row r="104" spans="1:9" ht="15" customHeight="1">
      <c r="A104" s="114">
        <v>64001</v>
      </c>
      <c r="B104" s="38" t="s">
        <v>44</v>
      </c>
      <c r="C104" s="225" t="s">
        <v>546</v>
      </c>
      <c r="D104" s="8" t="str">
        <f>VLOOKUP(A104,COMPS!$B$1:$N$880,2,0)</f>
        <v>Fornecimento e lançamento de Condutor BT-2x4mm² para rede subterrânea</v>
      </c>
      <c r="E104" s="9" t="str">
        <f>VLOOKUP(A104,COMPS!$B$1:$N$880,10,0)</f>
        <v>m</v>
      </c>
      <c r="F104" s="141">
        <f>VLOOKUP(C104,MEMORIA!$A$1:$Z$385,16,0)</f>
        <v>525</v>
      </c>
      <c r="G104" s="9">
        <f>VLOOKUP(A104,COMPS!$B$1:$N$880,11,0)</f>
        <v>15.1</v>
      </c>
      <c r="H104" s="9">
        <f>G104*(1+$F$2)</f>
        <v>18.62132</v>
      </c>
      <c r="I104" s="10">
        <f>ROUND(ROUND(F104,2)*ROUND(H104,2),2)</f>
        <v>9775.5</v>
      </c>
    </row>
    <row r="105" spans="1:9" ht="15" customHeight="1">
      <c r="A105" s="114">
        <v>64002</v>
      </c>
      <c r="B105" s="38" t="s">
        <v>44</v>
      </c>
      <c r="C105" s="225" t="s">
        <v>547</v>
      </c>
      <c r="D105" s="8" t="str">
        <f>VLOOKUP(A105,COMPS!$B$1:$N$880,2,0)</f>
        <v>Fornecimento e lançamento de Condutor BT-2x1x16+16mm² para extensão de rede</v>
      </c>
      <c r="E105" s="9" t="str">
        <f>VLOOKUP(A105,COMPS!$B$1:$N$880,10,0)</f>
        <v>m</v>
      </c>
      <c r="F105" s="141">
        <f>VLOOKUP(C105,MEMORIA!$A$1:$Z$385,16,0)</f>
        <v>27</v>
      </c>
      <c r="G105" s="9">
        <f>VLOOKUP(A105,COMPS!$B$1:$N$880,11,0)</f>
        <v>196.25</v>
      </c>
      <c r="H105" s="9">
        <f>G105*(1+$F$2)</f>
        <v>242.0155</v>
      </c>
      <c r="I105" s="10">
        <f>ROUND(ROUND(F105,2)*ROUND(H105,2),2)</f>
        <v>6534.54</v>
      </c>
    </row>
    <row r="106" spans="1:9" ht="15" customHeight="1">
      <c r="A106" s="662"/>
      <c r="B106" s="663"/>
      <c r="C106" s="12" t="s">
        <v>544</v>
      </c>
      <c r="D106" s="143" t="s">
        <v>556</v>
      </c>
      <c r="E106" s="144"/>
      <c r="F106" s="144"/>
      <c r="G106" s="144"/>
      <c r="H106" s="144"/>
      <c r="I106" s="145">
        <f>SUM(I107:I111)</f>
        <v>12197.96</v>
      </c>
    </row>
    <row r="107" spans="1:9" ht="15" customHeight="1">
      <c r="A107" s="114">
        <v>65001</v>
      </c>
      <c r="B107" s="38" t="s">
        <v>44</v>
      </c>
      <c r="C107" s="225" t="s">
        <v>548</v>
      </c>
      <c r="D107" s="8" t="str">
        <f>VLOOKUP(A107,COMPS!$B$1:$N$880,2,0)</f>
        <v>Retirada de braço, para fixação de luminárias</v>
      </c>
      <c r="E107" s="9" t="str">
        <f>VLOOKUP(A107,COMPS!$B$1:$N$880,10,0)</f>
        <v>und</v>
      </c>
      <c r="F107" s="141">
        <f>VLOOKUP(C107,MEMORIA!$A$1:$Z$385,16,0)</f>
        <v>7</v>
      </c>
      <c r="G107" s="9">
        <f>VLOOKUP(A107,COMPS!$B$1:$N$880,11,0)</f>
        <v>314.41</v>
      </c>
      <c r="H107" s="9">
        <f>G107*(1+$F$2)</f>
        <v>387.73041200000006</v>
      </c>
      <c r="I107" s="10">
        <f>ROUND(ROUND(F107,2)*ROUND(H107,2),2)</f>
        <v>2714.11</v>
      </c>
    </row>
    <row r="108" spans="1:9" ht="15" customHeight="1">
      <c r="A108" s="114">
        <v>65002</v>
      </c>
      <c r="B108" s="38" t="s">
        <v>44</v>
      </c>
      <c r="C108" s="225" t="s">
        <v>549</v>
      </c>
      <c r="D108" s="8" t="str">
        <f>VLOOKUP(A108,COMPS!$B$1:$N$880,2,0)</f>
        <v>Retirada de poste de concreto ou aço de 6m a 12m</v>
      </c>
      <c r="E108" s="9" t="str">
        <f>VLOOKUP(A108,COMPS!$B$1:$N$880,10,0)</f>
        <v>und</v>
      </c>
      <c r="F108" s="141">
        <f>VLOOKUP(C108,MEMORIA!$A$1:$Z$385,16,0)</f>
        <v>7</v>
      </c>
      <c r="G108" s="9">
        <f>VLOOKUP(A108,COMPS!$B$1:$N$880,11,0)</f>
        <v>495.04</v>
      </c>
      <c r="H108" s="9">
        <f>G108*(1+$F$2)</f>
        <v>610.483328</v>
      </c>
      <c r="I108" s="10">
        <f>ROUND(ROUND(F108,2)*ROUND(H108,2),2)</f>
        <v>4273.36</v>
      </c>
    </row>
    <row r="109" spans="1:9" ht="15" customHeight="1">
      <c r="A109" s="114">
        <v>65003</v>
      </c>
      <c r="B109" s="38" t="s">
        <v>44</v>
      </c>
      <c r="C109" s="225" t="s">
        <v>550</v>
      </c>
      <c r="D109" s="8" t="str">
        <f>VLOOKUP(A109,COMPS!$B$1:$N$880,2,0)</f>
        <v>Retirada de luminária em poste com 10m a 12m de altura</v>
      </c>
      <c r="E109" s="9" t="str">
        <f>VLOOKUP(A109,COMPS!$B$1:$N$880,10,0)</f>
        <v>und</v>
      </c>
      <c r="F109" s="141">
        <f>VLOOKUP(C109,MEMORIA!$A$1:$Z$385,16,0)</f>
        <v>7</v>
      </c>
      <c r="G109" s="9">
        <f>VLOOKUP(A109,COMPS!$B$1:$N$880,11,0)</f>
        <v>314.41</v>
      </c>
      <c r="H109" s="9">
        <f>G109*(1+$F$2)</f>
        <v>387.73041200000006</v>
      </c>
      <c r="I109" s="10">
        <f>ROUND(ROUND(F109,2)*ROUND(H109,2),2)</f>
        <v>2714.11</v>
      </c>
    </row>
    <row r="110" spans="1:9" ht="15" customHeight="1">
      <c r="A110" s="114">
        <v>65004</v>
      </c>
      <c r="B110" s="38" t="s">
        <v>44</v>
      </c>
      <c r="C110" s="225" t="s">
        <v>551</v>
      </c>
      <c r="D110" s="8" t="str">
        <f>VLOOKUP(A110,COMPS!$B$1:$N$880,2,0)</f>
        <v>Retirada de reator para lâmpada de descarga instalado de 8m até 13m de altura</v>
      </c>
      <c r="E110" s="9" t="str">
        <f>VLOOKUP(A110,COMPS!$B$1:$N$880,10,0)</f>
        <v>und</v>
      </c>
      <c r="F110" s="141">
        <f>VLOOKUP(C110,MEMORIA!$A$1:$Z$385,16,0)</f>
        <v>4</v>
      </c>
      <c r="G110" s="9">
        <f>VLOOKUP(A110,COMPS!$B$1:$N$880,11,0)</f>
        <v>386.35</v>
      </c>
      <c r="H110" s="9">
        <f>G110*(1+$F$2)</f>
        <v>476.44682000000006</v>
      </c>
      <c r="I110" s="10">
        <f>ROUND(ROUND(F110,2)*ROUND(H110,2),2)</f>
        <v>1905.8</v>
      </c>
    </row>
    <row r="111" spans="1:9" ht="15" customHeight="1">
      <c r="A111" s="114">
        <v>65005</v>
      </c>
      <c r="B111" s="38" t="s">
        <v>44</v>
      </c>
      <c r="C111" s="225" t="s">
        <v>552</v>
      </c>
      <c r="D111" s="8" t="str">
        <f>VLOOKUP(A111,COMPS!$B$1:$N$880,2,0)</f>
        <v>Retirada ou substituição de relé fotoelétrico individual, instalado até 13m de altura</v>
      </c>
      <c r="E111" s="9" t="str">
        <f>VLOOKUP(A111,COMPS!$B$1:$N$880,10,0)</f>
        <v>und</v>
      </c>
      <c r="F111" s="141">
        <f>VLOOKUP(C111,MEMORIA!$A$1:$Z$385,16,0)</f>
        <v>2</v>
      </c>
      <c r="G111" s="9">
        <f>VLOOKUP(A111,COMPS!$B$1:$N$880,11,0)</f>
        <v>239.45</v>
      </c>
      <c r="H111" s="9">
        <f>G111*(1+$F$2)</f>
        <v>295.28974</v>
      </c>
      <c r="I111" s="10">
        <f>ROUND(ROUND(F111,2)*ROUND(H111,2),2)</f>
        <v>590.58</v>
      </c>
    </row>
    <row r="112" spans="1:9" ht="15" customHeight="1">
      <c r="A112" s="667" t="str">
        <f>_xlfn.CONCAT("SUB-TOTAL ",D95)</f>
        <v>SUB-TOTAL ILUMINAÇÃO PÚBLICA</v>
      </c>
      <c r="B112" s="668"/>
      <c r="C112" s="668"/>
      <c r="D112" s="668"/>
      <c r="E112" s="668"/>
      <c r="F112" s="668"/>
      <c r="G112" s="668"/>
      <c r="H112" s="669"/>
      <c r="I112" s="6">
        <f>I96+I98+I101+I103+I106</f>
        <v>121486.69</v>
      </c>
    </row>
    <row r="113" spans="1:9" ht="4.5" customHeight="1">
      <c r="A113" s="525"/>
      <c r="B113" s="526"/>
      <c r="C113" s="526"/>
      <c r="D113" s="526"/>
      <c r="E113" s="526"/>
      <c r="F113" s="526"/>
      <c r="G113" s="526"/>
      <c r="H113" s="526"/>
      <c r="I113" s="527"/>
    </row>
    <row r="114" spans="1:9" ht="15" customHeight="1">
      <c r="A114" s="662"/>
      <c r="B114" s="663"/>
      <c r="C114" s="12" t="s">
        <v>334</v>
      </c>
      <c r="D114" s="664" t="s">
        <v>129</v>
      </c>
      <c r="E114" s="665"/>
      <c r="F114" s="665"/>
      <c r="G114" s="665"/>
      <c r="H114" s="665"/>
      <c r="I114" s="666"/>
    </row>
    <row r="115" spans="1:9" ht="15" customHeight="1">
      <c r="A115" s="37">
        <v>5914389</v>
      </c>
      <c r="B115" s="3" t="s">
        <v>40</v>
      </c>
      <c r="C115" s="36" t="s">
        <v>335</v>
      </c>
      <c r="D115" s="8" t="s">
        <v>245</v>
      </c>
      <c r="E115" s="9" t="s">
        <v>246</v>
      </c>
      <c r="F115" s="141">
        <f>VLOOKUP(C115,MEMORIA!$A$1:$Z$385,16,0)</f>
        <v>25319.74170632729</v>
      </c>
      <c r="G115" s="9">
        <v>0.74</v>
      </c>
      <c r="H115" s="9">
        <f>G115*(1+$F$2)</f>
        <v>0.912568</v>
      </c>
      <c r="I115" s="10">
        <f>ROUND(ROUND(F115,2)*ROUND(H115,2),2)</f>
        <v>23040.96</v>
      </c>
    </row>
    <row r="116" spans="1:9" ht="15" customHeight="1">
      <c r="A116" s="37">
        <v>5914374</v>
      </c>
      <c r="B116" s="3" t="s">
        <v>40</v>
      </c>
      <c r="C116" s="36" t="s">
        <v>433</v>
      </c>
      <c r="D116" s="8" t="s">
        <v>247</v>
      </c>
      <c r="E116" s="9" t="s">
        <v>246</v>
      </c>
      <c r="F116" s="141">
        <f>VLOOKUP(C116,MEMORIA!$A$1:$Z$385,16,0)</f>
        <v>1031.086627923062</v>
      </c>
      <c r="G116" s="9">
        <v>0.91</v>
      </c>
      <c r="H116" s="9">
        <f>G116*(1+$F$2)</f>
        <v>1.1222120000000002</v>
      </c>
      <c r="I116" s="10">
        <f>ROUND(ROUND(F116,2)*ROUND(H116,2),2)</f>
        <v>1154.82</v>
      </c>
    </row>
    <row r="117" spans="1:9" ht="15" customHeight="1">
      <c r="A117" s="37">
        <v>5914479</v>
      </c>
      <c r="B117" s="3" t="s">
        <v>40</v>
      </c>
      <c r="C117" s="36" t="s">
        <v>486</v>
      </c>
      <c r="D117" s="8" t="s">
        <v>250</v>
      </c>
      <c r="E117" s="9" t="s">
        <v>246</v>
      </c>
      <c r="F117" s="141">
        <f>VLOOKUP(C117,MEMORIA!$A$1:$Z$385,16,0)</f>
        <v>612.8364155533293</v>
      </c>
      <c r="G117" s="9">
        <v>0.7</v>
      </c>
      <c r="H117" s="9">
        <f>G117*(1+$F$2)</f>
        <v>0.86324</v>
      </c>
      <c r="I117" s="10">
        <f>ROUND(ROUND(F117,2)*ROUND(H117,2),2)</f>
        <v>527.04</v>
      </c>
    </row>
    <row r="118" spans="1:9" ht="15" customHeight="1">
      <c r="A118" s="37">
        <v>5914464</v>
      </c>
      <c r="B118" s="3" t="s">
        <v>40</v>
      </c>
      <c r="C118" s="36" t="s">
        <v>487</v>
      </c>
      <c r="D118" s="8" t="s">
        <v>577</v>
      </c>
      <c r="E118" s="9" t="s">
        <v>246</v>
      </c>
      <c r="F118" s="141">
        <f>VLOOKUP(C118,MEMORIA!$A$1:$Z$385,16,0)</f>
        <v>26.307230551001414</v>
      </c>
      <c r="G118" s="9">
        <v>0.86</v>
      </c>
      <c r="H118" s="9">
        <f>G118*(1+$F$2)</f>
        <v>1.060552</v>
      </c>
      <c r="I118" s="10">
        <f>ROUND(ROUND(F118,2)*ROUND(H118,2),2)</f>
        <v>27.89</v>
      </c>
    </row>
    <row r="119" spans="1:9" ht="15" customHeight="1">
      <c r="A119" s="37">
        <v>5914614</v>
      </c>
      <c r="B119" s="3" t="s">
        <v>40</v>
      </c>
      <c r="C119" s="36" t="s">
        <v>520</v>
      </c>
      <c r="D119" s="8" t="s">
        <v>314</v>
      </c>
      <c r="E119" s="9" t="s">
        <v>246</v>
      </c>
      <c r="F119" s="141">
        <f>VLOOKUP(C119,MEMORIA!$A$1:$Z$385,16,0)</f>
        <v>20.531652</v>
      </c>
      <c r="G119" s="9">
        <v>1.68</v>
      </c>
      <c r="H119" s="9">
        <f>G119*(1+$F$2)</f>
        <v>2.071776</v>
      </c>
      <c r="I119" s="10">
        <f>ROUND(ROUND(F119,2)*ROUND(H119,2),2)</f>
        <v>42.5</v>
      </c>
    </row>
    <row r="120" spans="1:9" ht="15" customHeight="1">
      <c r="A120" s="667" t="str">
        <f>_xlfn.CONCAT("SUB-TOTAL ",D114)</f>
        <v>SUB-TOTAL TRANSPORTES</v>
      </c>
      <c r="B120" s="668"/>
      <c r="C120" s="668"/>
      <c r="D120" s="668"/>
      <c r="E120" s="668"/>
      <c r="F120" s="668"/>
      <c r="G120" s="668"/>
      <c r="H120" s="669"/>
      <c r="I120" s="6">
        <f>SUM(I115:I119)</f>
        <v>24793.21</v>
      </c>
    </row>
    <row r="121" spans="1:9" ht="4.5" customHeight="1">
      <c r="A121" s="283"/>
      <c r="B121" s="284"/>
      <c r="C121" s="284"/>
      <c r="D121" s="284"/>
      <c r="E121" s="284"/>
      <c r="F121" s="284"/>
      <c r="G121" s="303"/>
      <c r="H121" s="284"/>
      <c r="I121" s="285"/>
    </row>
    <row r="122" spans="1:9" ht="15" customHeight="1">
      <c r="A122" s="662"/>
      <c r="B122" s="663"/>
      <c r="C122" s="12" t="s">
        <v>434</v>
      </c>
      <c r="D122" s="143" t="s">
        <v>166</v>
      </c>
      <c r="E122" s="144"/>
      <c r="F122" s="144"/>
      <c r="G122" s="144"/>
      <c r="H122" s="144"/>
      <c r="I122" s="145"/>
    </row>
    <row r="123" spans="1:9" ht="15" customHeight="1">
      <c r="A123" s="662"/>
      <c r="B123" s="663"/>
      <c r="C123" s="12" t="s">
        <v>435</v>
      </c>
      <c r="D123" s="143" t="s">
        <v>35</v>
      </c>
      <c r="E123" s="144"/>
      <c r="F123" s="144"/>
      <c r="G123" s="144"/>
      <c r="H123" s="144"/>
      <c r="I123" s="145">
        <f>SUM(I124:I138)</f>
        <v>131551.22</v>
      </c>
    </row>
    <row r="124" spans="1:9" ht="15" customHeight="1">
      <c r="A124" s="271">
        <v>41500</v>
      </c>
      <c r="B124" s="38" t="s">
        <v>14</v>
      </c>
      <c r="C124" s="3" t="s">
        <v>471</v>
      </c>
      <c r="D124" s="8" t="s">
        <v>251</v>
      </c>
      <c r="E124" s="9" t="s">
        <v>313</v>
      </c>
      <c r="F124" s="141">
        <f>VLOOKUP(C124,MEMORIA!$A$1:$Z$385,16,0)</f>
        <v>18</v>
      </c>
      <c r="G124" s="9">
        <v>269.3642555951995</v>
      </c>
      <c r="H124" s="9">
        <f aca="true" t="shared" si="9" ref="H124:H138">G124*(1+$F$2)</f>
        <v>332.18000000000006</v>
      </c>
      <c r="I124" s="10">
        <f aca="true" t="shared" si="10" ref="I124:I138">ROUND(ROUND(F124,2)*ROUND(H124,2),2)</f>
        <v>5979.24</v>
      </c>
    </row>
    <row r="125" spans="1:9" ht="22.5">
      <c r="A125" s="271">
        <v>42511</v>
      </c>
      <c r="B125" s="38" t="s">
        <v>14</v>
      </c>
      <c r="C125" s="3" t="s">
        <v>472</v>
      </c>
      <c r="D125" s="8" t="s">
        <v>252</v>
      </c>
      <c r="E125" s="9" t="s">
        <v>253</v>
      </c>
      <c r="F125" s="141">
        <f>VLOOKUP(C125,MEMORIA!$A$1:$Z$385,16,0)</f>
        <v>4</v>
      </c>
      <c r="G125" s="9">
        <v>978.3246837495946</v>
      </c>
      <c r="H125" s="9">
        <f t="shared" si="9"/>
        <v>1206.47</v>
      </c>
      <c r="I125" s="10">
        <f t="shared" si="10"/>
        <v>4825.88</v>
      </c>
    </row>
    <row r="126" spans="1:9" ht="15" customHeight="1">
      <c r="A126" s="271">
        <v>41579</v>
      </c>
      <c r="B126" s="38" t="s">
        <v>14</v>
      </c>
      <c r="C126" s="3" t="s">
        <v>473</v>
      </c>
      <c r="D126" s="8" t="s">
        <v>254</v>
      </c>
      <c r="E126" s="9" t="s">
        <v>253</v>
      </c>
      <c r="F126" s="141">
        <f>VLOOKUP(C126,MEMORIA!$A$1:$Z$385,16,0)</f>
        <v>4</v>
      </c>
      <c r="G126" s="9">
        <v>709.998378203049</v>
      </c>
      <c r="H126" s="9">
        <f t="shared" si="9"/>
        <v>875.57</v>
      </c>
      <c r="I126" s="10">
        <f t="shared" si="10"/>
        <v>3502.28</v>
      </c>
    </row>
    <row r="127" spans="1:9" ht="22.5">
      <c r="A127" s="271">
        <v>41678</v>
      </c>
      <c r="B127" s="38" t="s">
        <v>14</v>
      </c>
      <c r="C127" s="3" t="s">
        <v>474</v>
      </c>
      <c r="D127" s="8" t="s">
        <v>255</v>
      </c>
      <c r="E127" s="9" t="s">
        <v>253</v>
      </c>
      <c r="F127" s="141">
        <f>VLOOKUP(C127,MEMORIA!$A$1:$Z$385,16,0)</f>
        <v>4</v>
      </c>
      <c r="G127" s="9">
        <v>1000</v>
      </c>
      <c r="H127" s="9">
        <f t="shared" si="9"/>
        <v>1233.2</v>
      </c>
      <c r="I127" s="10">
        <f t="shared" si="10"/>
        <v>4932.8</v>
      </c>
    </row>
    <row r="128" spans="1:13" ht="22.5">
      <c r="A128" s="271">
        <v>41580</v>
      </c>
      <c r="B128" s="38" t="s">
        <v>14</v>
      </c>
      <c r="C128" s="3" t="s">
        <v>475</v>
      </c>
      <c r="D128" s="8" t="s">
        <v>256</v>
      </c>
      <c r="E128" s="9" t="s">
        <v>253</v>
      </c>
      <c r="F128" s="141">
        <f>VLOOKUP(C128,MEMORIA!$A$1:$Z$385,16,0)</f>
        <v>4</v>
      </c>
      <c r="G128" s="9">
        <v>1033.3279273434964</v>
      </c>
      <c r="H128" s="9">
        <f t="shared" si="9"/>
        <v>1274.3</v>
      </c>
      <c r="I128" s="10">
        <f t="shared" si="10"/>
        <v>5097.2</v>
      </c>
      <c r="M128" s="1">
        <f>SUM(H125:H128)/I145</f>
        <v>0.021773703288709055</v>
      </c>
    </row>
    <row r="129" spans="1:9" ht="22.5">
      <c r="A129" s="271">
        <v>41501</v>
      </c>
      <c r="B129" s="38" t="s">
        <v>14</v>
      </c>
      <c r="C129" s="3" t="s">
        <v>476</v>
      </c>
      <c r="D129" s="8" t="s">
        <v>257</v>
      </c>
      <c r="E129" s="9" t="s">
        <v>308</v>
      </c>
      <c r="F129" s="141">
        <f>VLOOKUP(C129,MEMORIA!$A$1:$Z$385,16,0)</f>
        <v>25</v>
      </c>
      <c r="G129" s="9">
        <v>47.58352254297762</v>
      </c>
      <c r="H129" s="9">
        <f t="shared" si="9"/>
        <v>58.68</v>
      </c>
      <c r="I129" s="10">
        <f t="shared" si="10"/>
        <v>1467</v>
      </c>
    </row>
    <row r="130" spans="1:9" ht="22.5">
      <c r="A130" s="271">
        <v>41499</v>
      </c>
      <c r="B130" s="38" t="s">
        <v>14</v>
      </c>
      <c r="C130" s="3" t="s">
        <v>477</v>
      </c>
      <c r="D130" s="8" t="s">
        <v>258</v>
      </c>
      <c r="E130" s="9" t="s">
        <v>308</v>
      </c>
      <c r="F130" s="141">
        <f>VLOOKUP(C130,MEMORIA!$A$1:$Z$385,16,0)</f>
        <v>25</v>
      </c>
      <c r="G130" s="9">
        <v>348.6133636068764</v>
      </c>
      <c r="H130" s="9">
        <f t="shared" si="9"/>
        <v>429.91</v>
      </c>
      <c r="I130" s="10">
        <f t="shared" si="10"/>
        <v>10747.75</v>
      </c>
    </row>
    <row r="131" spans="1:9" ht="22.5">
      <c r="A131" s="271">
        <v>41503</v>
      </c>
      <c r="B131" s="38" t="s">
        <v>14</v>
      </c>
      <c r="C131" s="3" t="s">
        <v>478</v>
      </c>
      <c r="D131" s="8" t="s">
        <v>259</v>
      </c>
      <c r="E131" s="9" t="s">
        <v>308</v>
      </c>
      <c r="F131" s="141">
        <f>VLOOKUP(C131,MEMORIA!$A$1:$Z$385,16,0)</f>
        <v>20</v>
      </c>
      <c r="G131" s="9">
        <v>650.7622445669801</v>
      </c>
      <c r="H131" s="9">
        <f t="shared" si="9"/>
        <v>802.52</v>
      </c>
      <c r="I131" s="10">
        <f t="shared" si="10"/>
        <v>16050.4</v>
      </c>
    </row>
    <row r="132" spans="1:9" ht="15" customHeight="1">
      <c r="A132" s="271">
        <v>41527</v>
      </c>
      <c r="B132" s="38" t="s">
        <v>14</v>
      </c>
      <c r="C132" s="3" t="s">
        <v>479</v>
      </c>
      <c r="D132" s="8" t="s">
        <v>260</v>
      </c>
      <c r="E132" s="9" t="s">
        <v>243</v>
      </c>
      <c r="F132" s="141">
        <f>VLOOKUP(C132,MEMORIA!$A$1:$Z$385,16,0)</f>
        <v>3</v>
      </c>
      <c r="G132" s="9">
        <v>3173.7998702562436</v>
      </c>
      <c r="H132" s="9">
        <f t="shared" si="9"/>
        <v>3913.93</v>
      </c>
      <c r="I132" s="10">
        <f t="shared" si="10"/>
        <v>11741.79</v>
      </c>
    </row>
    <row r="133" spans="1:13" ht="22.5">
      <c r="A133" s="271">
        <v>100882</v>
      </c>
      <c r="B133" s="38" t="s">
        <v>14</v>
      </c>
      <c r="C133" s="3" t="s">
        <v>480</v>
      </c>
      <c r="D133" s="8" t="s">
        <v>261</v>
      </c>
      <c r="E133" s="9" t="s">
        <v>308</v>
      </c>
      <c r="F133" s="141">
        <f>VLOOKUP(C133,MEMORIA!$A$1:$Z$385,16,0)</f>
        <v>140</v>
      </c>
      <c r="G133" s="9">
        <v>207.85760622770027</v>
      </c>
      <c r="H133" s="9">
        <f t="shared" si="9"/>
        <v>256.33</v>
      </c>
      <c r="I133" s="10">
        <f t="shared" si="10"/>
        <v>35886.2</v>
      </c>
      <c r="L133" s="1">
        <f>SUM(I134:I138)/2+SUM(H125:H128)</f>
        <v>20249.88</v>
      </c>
      <c r="M133" s="1">
        <f>L133/I145</f>
        <v>0.09606951431994575</v>
      </c>
    </row>
    <row r="134" spans="1:9" ht="15" customHeight="1">
      <c r="A134" s="271">
        <v>41546</v>
      </c>
      <c r="B134" s="38" t="s">
        <v>14</v>
      </c>
      <c r="C134" s="3" t="s">
        <v>481</v>
      </c>
      <c r="D134" s="8" t="s">
        <v>262</v>
      </c>
      <c r="E134" s="9" t="s">
        <v>150</v>
      </c>
      <c r="F134" s="141">
        <f>VLOOKUP(C134,MEMORIA!$A$1:$Z$385,16,0)</f>
        <v>20</v>
      </c>
      <c r="G134" s="9">
        <v>299.23775543301974</v>
      </c>
      <c r="H134" s="9">
        <f t="shared" si="9"/>
        <v>369.02</v>
      </c>
      <c r="I134" s="10">
        <f t="shared" si="10"/>
        <v>7380.4</v>
      </c>
    </row>
    <row r="135" spans="1:9" ht="15" customHeight="1">
      <c r="A135" s="271">
        <v>41545</v>
      </c>
      <c r="B135" s="38" t="s">
        <v>14</v>
      </c>
      <c r="C135" s="3" t="s">
        <v>482</v>
      </c>
      <c r="D135" s="8" t="s">
        <v>263</v>
      </c>
      <c r="E135" s="9" t="s">
        <v>150</v>
      </c>
      <c r="F135" s="141">
        <f>VLOOKUP(C135,MEMORIA!$A$1:$Z$385,16,0)</f>
        <v>12</v>
      </c>
      <c r="G135" s="9">
        <v>251.75964969185858</v>
      </c>
      <c r="H135" s="9">
        <f t="shared" si="9"/>
        <v>310.47</v>
      </c>
      <c r="I135" s="10">
        <f t="shared" si="10"/>
        <v>3725.64</v>
      </c>
    </row>
    <row r="136" spans="1:9" ht="15" customHeight="1">
      <c r="A136" s="271">
        <v>41547</v>
      </c>
      <c r="B136" s="38" t="s">
        <v>14</v>
      </c>
      <c r="C136" s="3" t="s">
        <v>483</v>
      </c>
      <c r="D136" s="8" t="s">
        <v>264</v>
      </c>
      <c r="E136" s="9" t="s">
        <v>150</v>
      </c>
      <c r="F136" s="141">
        <f>VLOOKUP(C136,MEMORIA!$A$1:$Z$385,16,0)</f>
        <v>12</v>
      </c>
      <c r="G136" s="9">
        <v>244.08855011352577</v>
      </c>
      <c r="H136" s="9">
        <f t="shared" si="9"/>
        <v>301.01</v>
      </c>
      <c r="I136" s="10">
        <f t="shared" si="10"/>
        <v>3612.12</v>
      </c>
    </row>
    <row r="137" spans="1:9" ht="15" customHeight="1">
      <c r="A137" s="271">
        <v>41544</v>
      </c>
      <c r="B137" s="38" t="s">
        <v>14</v>
      </c>
      <c r="C137" s="3" t="s">
        <v>484</v>
      </c>
      <c r="D137" s="8" t="s">
        <v>265</v>
      </c>
      <c r="E137" s="9" t="s">
        <v>150</v>
      </c>
      <c r="F137" s="141">
        <f>VLOOKUP(C137,MEMORIA!$A$1:$Z$385,16,0)</f>
        <v>20</v>
      </c>
      <c r="G137" s="9">
        <v>486.26337982484586</v>
      </c>
      <c r="H137" s="9">
        <f t="shared" si="9"/>
        <v>599.66</v>
      </c>
      <c r="I137" s="10">
        <f t="shared" si="10"/>
        <v>11993.2</v>
      </c>
    </row>
    <row r="138" spans="1:9" ht="15" customHeight="1">
      <c r="A138" s="271">
        <v>41495</v>
      </c>
      <c r="B138" s="38" t="s">
        <v>14</v>
      </c>
      <c r="C138" s="3" t="s">
        <v>485</v>
      </c>
      <c r="D138" s="8" t="s">
        <v>266</v>
      </c>
      <c r="E138" s="9" t="s">
        <v>243</v>
      </c>
      <c r="F138" s="141">
        <f>VLOOKUP(C138,MEMORIA!$A$1:$Z$385,16,0)</f>
        <v>4</v>
      </c>
      <c r="G138" s="9">
        <v>934.4226402854362</v>
      </c>
      <c r="H138" s="9">
        <f t="shared" si="9"/>
        <v>1152.33</v>
      </c>
      <c r="I138" s="10">
        <f t="shared" si="10"/>
        <v>4609.32</v>
      </c>
    </row>
    <row r="139" spans="1:9" ht="15" customHeight="1">
      <c r="A139" s="662"/>
      <c r="B139" s="663"/>
      <c r="C139" s="12" t="s">
        <v>465</v>
      </c>
      <c r="D139" s="143" t="s">
        <v>128</v>
      </c>
      <c r="E139" s="144"/>
      <c r="F139" s="144"/>
      <c r="G139" s="144"/>
      <c r="H139" s="144"/>
      <c r="I139" s="145">
        <f>SUM(I140:I144)</f>
        <v>79232.4</v>
      </c>
    </row>
    <row r="140" spans="1:9" ht="15" customHeight="1">
      <c r="A140" s="241">
        <v>42046</v>
      </c>
      <c r="B140" s="237" t="s">
        <v>14</v>
      </c>
      <c r="C140" s="38" t="s">
        <v>466</v>
      </c>
      <c r="D140" s="139" t="s">
        <v>267</v>
      </c>
      <c r="E140" s="140" t="s">
        <v>243</v>
      </c>
      <c r="F140" s="141">
        <v>60</v>
      </c>
      <c r="G140" s="140">
        <v>123.63769056114174</v>
      </c>
      <c r="H140" s="9">
        <f>G140*(1+$F$2)</f>
        <v>152.47</v>
      </c>
      <c r="I140" s="142">
        <f>ROUND(ROUND(F140,2)*ROUND(H140,2),2)</f>
        <v>9148.2</v>
      </c>
    </row>
    <row r="141" spans="1:9" ht="15" customHeight="1">
      <c r="A141" s="114">
        <v>42047</v>
      </c>
      <c r="B141" s="38" t="s">
        <v>14</v>
      </c>
      <c r="C141" s="38" t="s">
        <v>467</v>
      </c>
      <c r="D141" s="139" t="s">
        <v>268</v>
      </c>
      <c r="E141" s="140" t="s">
        <v>243</v>
      </c>
      <c r="F141" s="141">
        <v>30</v>
      </c>
      <c r="G141" s="140">
        <v>34.4550762244567</v>
      </c>
      <c r="H141" s="9">
        <f>G141*(1+$F$2)</f>
        <v>42.49</v>
      </c>
      <c r="I141" s="142">
        <f>ROUND(ROUND(F141,2)*ROUND(H141,2),2)</f>
        <v>1274.7</v>
      </c>
    </row>
    <row r="142" spans="1:9" ht="15" customHeight="1">
      <c r="A142" s="114">
        <v>41359</v>
      </c>
      <c r="B142" s="38" t="s">
        <v>14</v>
      </c>
      <c r="C142" s="38" t="s">
        <v>468</v>
      </c>
      <c r="D142" s="139" t="s">
        <v>269</v>
      </c>
      <c r="E142" s="140" t="s">
        <v>308</v>
      </c>
      <c r="F142" s="141">
        <v>1500</v>
      </c>
      <c r="G142" s="140">
        <v>16.023353876094713</v>
      </c>
      <c r="H142" s="9">
        <f>G142*(1+$F$2)</f>
        <v>19.76</v>
      </c>
      <c r="I142" s="142">
        <f>ROUND(ROUND(F142,2)*ROUND(H142,2),2)</f>
        <v>29640</v>
      </c>
    </row>
    <row r="143" spans="1:9" ht="15" customHeight="1">
      <c r="A143" s="114">
        <v>40937</v>
      </c>
      <c r="B143" s="38" t="s">
        <v>14</v>
      </c>
      <c r="C143" s="38" t="s">
        <v>469</v>
      </c>
      <c r="D143" s="139" t="s">
        <v>270</v>
      </c>
      <c r="E143" s="140" t="s">
        <v>313</v>
      </c>
      <c r="F143" s="141">
        <v>15</v>
      </c>
      <c r="G143" s="140">
        <v>583.9279922153746</v>
      </c>
      <c r="H143" s="9">
        <f>G143*(1+$F$2)</f>
        <v>720.1</v>
      </c>
      <c r="I143" s="142">
        <f>ROUND(ROUND(F143,2)*ROUND(H143,2),2)</f>
        <v>10801.5</v>
      </c>
    </row>
    <row r="144" spans="1:9" ht="15" customHeight="1">
      <c r="A144" s="114">
        <v>41202</v>
      </c>
      <c r="B144" s="38" t="s">
        <v>14</v>
      </c>
      <c r="C144" s="38" t="s">
        <v>470</v>
      </c>
      <c r="D144" s="139" t="s">
        <v>271</v>
      </c>
      <c r="E144" s="140" t="s">
        <v>308</v>
      </c>
      <c r="F144" s="141">
        <v>800</v>
      </c>
      <c r="G144" s="140">
        <v>28.75445994161531</v>
      </c>
      <c r="H144" s="9">
        <f>G144*(1+$F$2)</f>
        <v>35.46</v>
      </c>
      <c r="I144" s="142">
        <f>ROUND(ROUND(F144,2)*ROUND(H144,2),2)</f>
        <v>28368</v>
      </c>
    </row>
    <row r="145" spans="1:9" ht="15" customHeight="1">
      <c r="A145" s="667" t="str">
        <f>_xlfn.CONCAT("SUB-TOTAL ",D122)</f>
        <v>SUB-TOTAL INSTALAÇÃO MANUT. CANTEIRO, PLACAS DE OBRAS</v>
      </c>
      <c r="B145" s="668"/>
      <c r="C145" s="668"/>
      <c r="D145" s="668"/>
      <c r="E145" s="668"/>
      <c r="F145" s="668"/>
      <c r="G145" s="668"/>
      <c r="H145" s="669"/>
      <c r="I145" s="6">
        <f>I123+I139</f>
        <v>210783.62</v>
      </c>
    </row>
    <row r="146" spans="1:9" ht="4.5" customHeight="1">
      <c r="A146" s="679"/>
      <c r="B146" s="680"/>
      <c r="C146" s="680"/>
      <c r="D146" s="680"/>
      <c r="E146" s="680"/>
      <c r="F146" s="680"/>
      <c r="G146" s="680"/>
      <c r="H146" s="680"/>
      <c r="I146" s="681"/>
    </row>
    <row r="147" spans="1:9" ht="15.75" customHeight="1">
      <c r="A147" s="662"/>
      <c r="B147" s="663"/>
      <c r="C147" s="12" t="s">
        <v>462</v>
      </c>
      <c r="D147" s="664" t="s">
        <v>36</v>
      </c>
      <c r="E147" s="665"/>
      <c r="F147" s="665"/>
      <c r="G147" s="665"/>
      <c r="H147" s="665"/>
      <c r="I147" s="666"/>
    </row>
    <row r="148" spans="1:9" ht="15.75" customHeight="1">
      <c r="A148" s="2">
        <f>COMPS!B540</f>
        <v>91001</v>
      </c>
      <c r="B148" s="3" t="s">
        <v>44</v>
      </c>
      <c r="C148" s="7" t="s">
        <v>464</v>
      </c>
      <c r="D148" s="4" t="s">
        <v>37</v>
      </c>
      <c r="E148" s="9" t="s">
        <v>148</v>
      </c>
      <c r="F148" s="141">
        <f>VLOOKUP(C148,MEMORIA!$A$1:$Z$385,16,0)</f>
        <v>1</v>
      </c>
      <c r="G148" s="231"/>
      <c r="H148" s="5">
        <f>COMPS!J574</f>
        <v>52904.03336</v>
      </c>
      <c r="I148" s="10">
        <f>ROUND(ROUND(F148,2)*ROUND(H148,2),2)</f>
        <v>52904.03</v>
      </c>
    </row>
    <row r="149" spans="1:9" ht="15.75" customHeight="1">
      <c r="A149" s="667" t="str">
        <f>_xlfn.CONCAT("SUB-TOTAL ",D147)</f>
        <v>SUB-TOTAL ADMINISTRAÇÃO LOCAL</v>
      </c>
      <c r="B149" s="668"/>
      <c r="C149" s="668"/>
      <c r="D149" s="668"/>
      <c r="E149" s="668"/>
      <c r="F149" s="668"/>
      <c r="G149" s="668"/>
      <c r="H149" s="669"/>
      <c r="I149" s="6">
        <f>SUM(I148:I148)</f>
        <v>52904.03</v>
      </c>
    </row>
    <row r="150" spans="1:9" ht="4.5" customHeight="1">
      <c r="A150" s="692"/>
      <c r="B150" s="693"/>
      <c r="C150" s="693"/>
      <c r="D150" s="693"/>
      <c r="E150" s="693"/>
      <c r="F150" s="693"/>
      <c r="G150" s="693"/>
      <c r="H150" s="693"/>
      <c r="I150" s="694"/>
    </row>
    <row r="151" spans="1:9" ht="15.75" customHeight="1" thickBot="1">
      <c r="A151" s="689" t="s">
        <v>13</v>
      </c>
      <c r="B151" s="690"/>
      <c r="C151" s="690"/>
      <c r="D151" s="690"/>
      <c r="E151" s="690"/>
      <c r="F151" s="690"/>
      <c r="G151" s="690"/>
      <c r="H151" s="691"/>
      <c r="I151" s="238">
        <f>I149+I145+I93+I77+I69+I46+I120+I112+I21</f>
        <v>953516.58</v>
      </c>
    </row>
    <row r="152" ht="15.75" customHeight="1"/>
    <row r="153" ht="15.75" customHeight="1"/>
    <row r="154" ht="15.75" customHeight="1"/>
    <row r="155" ht="15.75" customHeight="1"/>
    <row r="156" ht="15.75" customHeight="1"/>
    <row r="157" spans="1:9" ht="15.75" customHeight="1">
      <c r="A157" s="661"/>
      <c r="B157" s="661"/>
      <c r="C157" s="661"/>
      <c r="D157" s="661"/>
      <c r="E157" s="661"/>
      <c r="F157" s="661"/>
      <c r="G157" s="661"/>
      <c r="H157" s="661"/>
      <c r="I157" s="661"/>
    </row>
    <row r="158" ht="15.75" customHeight="1"/>
    <row r="159" ht="15.75" customHeight="1"/>
    <row r="160" ht="15.75" customHeight="1"/>
    <row r="161" ht="15.75" customHeight="1"/>
    <row r="162" ht="15.75" customHeight="1"/>
  </sheetData>
  <sheetProtection/>
  <autoFilter ref="B1:B162"/>
  <mergeCells count="58">
    <mergeCell ref="A151:H151"/>
    <mergeCell ref="A123:B123"/>
    <mergeCell ref="A62:B62"/>
    <mergeCell ref="A47:I47"/>
    <mergeCell ref="A114:B114"/>
    <mergeCell ref="A122:B122"/>
    <mergeCell ref="A145:H145"/>
    <mergeCell ref="D79:I79"/>
    <mergeCell ref="A120:H120"/>
    <mergeCell ref="A150:I150"/>
    <mergeCell ref="A1:I1"/>
    <mergeCell ref="A23:B23"/>
    <mergeCell ref="D23:I23"/>
    <mergeCell ref="A71:B71"/>
    <mergeCell ref="D71:I71"/>
    <mergeCell ref="A21:H21"/>
    <mergeCell ref="A2:D2"/>
    <mergeCell ref="A22:I22"/>
    <mergeCell ref="C5:D5"/>
    <mergeCell ref="A16:B16"/>
    <mergeCell ref="D147:I147"/>
    <mergeCell ref="A147:B147"/>
    <mergeCell ref="A139:B139"/>
    <mergeCell ref="A146:I146"/>
    <mergeCell ref="G2:I2"/>
    <mergeCell ref="D114:I114"/>
    <mergeCell ref="A78:I78"/>
    <mergeCell ref="A79:B79"/>
    <mergeCell ref="A70:I70"/>
    <mergeCell ref="A69:H69"/>
    <mergeCell ref="A77:H77"/>
    <mergeCell ref="A94:I94"/>
    <mergeCell ref="A53:B53"/>
    <mergeCell ref="A58:B58"/>
    <mergeCell ref="A32:B32"/>
    <mergeCell ref="A41:B41"/>
    <mergeCell ref="A49:B49"/>
    <mergeCell ref="A93:H93"/>
    <mergeCell ref="F3:I4"/>
    <mergeCell ref="A46:H46"/>
    <mergeCell ref="D48:I48"/>
    <mergeCell ref="A48:B48"/>
    <mergeCell ref="A8:B8"/>
    <mergeCell ref="E3:E4"/>
    <mergeCell ref="A4:D4"/>
    <mergeCell ref="A7:B7"/>
    <mergeCell ref="A24:B24"/>
    <mergeCell ref="E5:I5"/>
    <mergeCell ref="A157:I157"/>
    <mergeCell ref="A95:B95"/>
    <mergeCell ref="D95:I95"/>
    <mergeCell ref="A112:H112"/>
    <mergeCell ref="A96:B96"/>
    <mergeCell ref="A101:B101"/>
    <mergeCell ref="A106:B106"/>
    <mergeCell ref="A98:B98"/>
    <mergeCell ref="A103:B103"/>
    <mergeCell ref="A149:H149"/>
  </mergeCells>
  <printOptions horizontalCentered="1"/>
  <pageMargins left="0.2362204724409449" right="0.2362204724409449" top="0.7480314960629921" bottom="0.7480314960629921" header="0.31496062992125984" footer="0.31496062992125984"/>
  <pageSetup firstPageNumber="98" useFirstPageNumber="1" fitToHeight="0" fitToWidth="1" horizontalDpi="600" verticalDpi="600" orientation="landscape" paperSize="9" scale="90" r:id="rId2"/>
  <headerFooter>
    <oddFooter>&amp;C&amp;P</oddFooter>
  </headerFooter>
  <rowBreaks count="6" manualBreakCount="6">
    <brk id="31" max="8" man="1"/>
    <brk id="57" max="8" man="1"/>
    <brk id="78" max="8" man="1"/>
    <brk id="94" max="8" man="1"/>
    <brk id="121" max="8" man="1"/>
    <brk id="13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SheetLayoutView="100" zoomScalePageLayoutView="0" workbookViewId="0" topLeftCell="A11">
      <selection activeCell="B392" sqref="B392"/>
    </sheetView>
  </sheetViews>
  <sheetFormatPr defaultColWidth="9.140625" defaultRowHeight="15"/>
  <cols>
    <col min="1" max="1" width="6.8515625" style="0" customWidth="1"/>
    <col min="2" max="2" width="50.7109375" style="0" customWidth="1"/>
    <col min="3" max="3" width="8.7109375" style="0" customWidth="1"/>
    <col min="4" max="4" width="12.7109375" style="0" customWidth="1"/>
    <col min="5" max="7" width="6.7109375" style="0" customWidth="1"/>
    <col min="8" max="11" width="12.7109375" style="0" customWidth="1"/>
    <col min="12" max="12" width="1.1484375" style="0" customWidth="1"/>
    <col min="13" max="13" width="0.85546875" style="0" customWidth="1"/>
    <col min="14" max="14" width="9.140625" style="27" customWidth="1"/>
    <col min="15" max="15" width="15.28125" style="23" customWidth="1"/>
  </cols>
  <sheetData>
    <row r="1" spans="1:13" ht="15" customHeight="1">
      <c r="A1" s="719" t="s">
        <v>315</v>
      </c>
      <c r="B1" s="720"/>
      <c r="C1" s="720"/>
      <c r="D1" s="720"/>
      <c r="E1" s="720"/>
      <c r="F1" s="720"/>
      <c r="G1" s="720"/>
      <c r="H1" s="720"/>
      <c r="I1" s="720"/>
      <c r="J1" s="720"/>
      <c r="K1" s="721"/>
      <c r="L1" s="127"/>
      <c r="M1" s="127"/>
    </row>
    <row r="2" spans="1:13" ht="18" customHeight="1">
      <c r="A2" s="722"/>
      <c r="B2" s="723"/>
      <c r="C2" s="723"/>
      <c r="D2" s="723"/>
      <c r="E2" s="723"/>
      <c r="F2" s="723"/>
      <c r="G2" s="723"/>
      <c r="H2" s="723"/>
      <c r="I2" s="723"/>
      <c r="J2" s="723"/>
      <c r="K2" s="724"/>
      <c r="L2" s="127"/>
      <c r="M2" s="127"/>
    </row>
    <row r="3" spans="1:13" ht="28.5" customHeight="1">
      <c r="A3" s="722"/>
      <c r="B3" s="723"/>
      <c r="C3" s="723"/>
      <c r="D3" s="723"/>
      <c r="E3" s="723"/>
      <c r="F3" s="723"/>
      <c r="G3" s="723"/>
      <c r="H3" s="723"/>
      <c r="I3" s="723"/>
      <c r="J3" s="723"/>
      <c r="K3" s="724"/>
      <c r="L3" s="127"/>
      <c r="M3" s="127"/>
    </row>
    <row r="4" spans="1:15" s="302" customFormat="1" ht="15" customHeight="1">
      <c r="A4" s="466" t="s">
        <v>412</v>
      </c>
      <c r="B4" s="535"/>
      <c r="C4" s="467"/>
      <c r="D4" s="467"/>
      <c r="E4" s="461" t="s">
        <v>175</v>
      </c>
      <c r="F4" s="467"/>
      <c r="G4" s="467"/>
      <c r="H4" s="467"/>
      <c r="I4" s="467"/>
      <c r="J4" s="467"/>
      <c r="K4" s="468"/>
      <c r="L4" s="299"/>
      <c r="M4" s="299"/>
      <c r="N4" s="300"/>
      <c r="O4" s="301"/>
    </row>
    <row r="5" spans="1:15" s="65" customFormat="1" ht="15" customHeight="1">
      <c r="A5" s="462" t="s">
        <v>413</v>
      </c>
      <c r="B5" s="463"/>
      <c r="C5" s="463"/>
      <c r="D5" s="463"/>
      <c r="E5" s="456" t="s">
        <v>560</v>
      </c>
      <c r="F5" s="463"/>
      <c r="G5" s="463"/>
      <c r="H5" s="463"/>
      <c r="I5" s="463"/>
      <c r="J5" s="463"/>
      <c r="K5" s="469"/>
      <c r="L5" s="131"/>
      <c r="M5" s="131"/>
      <c r="N5" s="129"/>
      <c r="O5" s="130"/>
    </row>
    <row r="6" spans="1:15" s="65" customFormat="1" ht="15" customHeight="1">
      <c r="A6" s="464" t="s">
        <v>414</v>
      </c>
      <c r="B6" s="465"/>
      <c r="C6" s="465"/>
      <c r="D6" s="465"/>
      <c r="E6" s="457" t="s">
        <v>336</v>
      </c>
      <c r="F6" s="465"/>
      <c r="G6" s="465"/>
      <c r="H6" s="465"/>
      <c r="I6" s="465"/>
      <c r="J6" s="465"/>
      <c r="K6" s="470"/>
      <c r="L6" s="131"/>
      <c r="M6" s="131"/>
      <c r="N6" s="129"/>
      <c r="O6" s="130"/>
    </row>
    <row r="7" spans="1:15" s="65" customFormat="1" ht="24.75" customHeight="1" thickBot="1">
      <c r="A7" s="725" t="s">
        <v>22</v>
      </c>
      <c r="B7" s="726"/>
      <c r="C7" s="726"/>
      <c r="D7" s="726"/>
      <c r="E7" s="726"/>
      <c r="F7" s="726"/>
      <c r="G7" s="726"/>
      <c r="H7" s="726"/>
      <c r="I7" s="726"/>
      <c r="J7" s="726"/>
      <c r="K7" s="727"/>
      <c r="L7" s="132"/>
      <c r="M7" s="132"/>
      <c r="N7" s="129"/>
      <c r="O7" s="130"/>
    </row>
    <row r="8" spans="1:15" ht="24.75" thickBot="1">
      <c r="A8" s="537" t="s">
        <v>1</v>
      </c>
      <c r="B8" s="538" t="s">
        <v>23</v>
      </c>
      <c r="C8" s="538" t="s">
        <v>24</v>
      </c>
      <c r="D8" s="539" t="s">
        <v>25</v>
      </c>
      <c r="E8" s="538" t="s">
        <v>275</v>
      </c>
      <c r="F8" s="538" t="s">
        <v>276</v>
      </c>
      <c r="G8" s="538" t="s">
        <v>277</v>
      </c>
      <c r="H8" s="538" t="s">
        <v>26</v>
      </c>
      <c r="I8" s="538" t="s">
        <v>27</v>
      </c>
      <c r="J8" s="538" t="s">
        <v>28</v>
      </c>
      <c r="K8" s="539" t="s">
        <v>29</v>
      </c>
      <c r="L8" s="133"/>
      <c r="M8" s="133"/>
      <c r="N8" s="28"/>
      <c r="O8" s="25"/>
    </row>
    <row r="9" spans="1:15" ht="15.75" customHeight="1">
      <c r="A9" s="704">
        <v>1</v>
      </c>
      <c r="B9" s="733" t="str">
        <f>RES!B6</f>
        <v>TERRAPLENAGEM E SERVIÇOS PRELIMINARES</v>
      </c>
      <c r="C9" s="177" t="s">
        <v>30</v>
      </c>
      <c r="D9" s="541">
        <f>RES!C6</f>
        <v>42203.600000000006</v>
      </c>
      <c r="E9" s="736" t="s">
        <v>278</v>
      </c>
      <c r="F9" s="737"/>
      <c r="G9" s="738"/>
      <c r="H9" s="275">
        <f>H11*$O$9</f>
        <v>8440.720000000001</v>
      </c>
      <c r="I9" s="191">
        <f>I11*$O$9</f>
        <v>33762.880000000005</v>
      </c>
      <c r="J9" s="186"/>
      <c r="K9" s="183"/>
      <c r="L9" s="134"/>
      <c r="M9" s="134"/>
      <c r="N9" s="29"/>
      <c r="O9" s="26">
        <f>D9</f>
        <v>42203.600000000006</v>
      </c>
    </row>
    <row r="10" spans="1:15" ht="4.5" customHeight="1">
      <c r="A10" s="705"/>
      <c r="B10" s="734"/>
      <c r="C10" s="178"/>
      <c r="D10" s="540"/>
      <c r="E10" s="739"/>
      <c r="F10" s="740"/>
      <c r="G10" s="741"/>
      <c r="H10" s="342"/>
      <c r="I10" s="194"/>
      <c r="J10" s="187"/>
      <c r="K10" s="184"/>
      <c r="L10" s="134"/>
      <c r="M10" s="134"/>
      <c r="N10" s="29"/>
      <c r="O10" s="25"/>
    </row>
    <row r="11" spans="1:15" ht="15.75" customHeight="1" thickBot="1">
      <c r="A11" s="706"/>
      <c r="B11" s="735"/>
      <c r="C11" s="179" t="s">
        <v>12</v>
      </c>
      <c r="D11" s="540"/>
      <c r="E11" s="739"/>
      <c r="F11" s="740"/>
      <c r="G11" s="741"/>
      <c r="H11" s="276">
        <v>0.2</v>
      </c>
      <c r="I11" s="181">
        <v>0.8</v>
      </c>
      <c r="J11" s="188"/>
      <c r="K11" s="185"/>
      <c r="L11" s="134">
        <v>0</v>
      </c>
      <c r="M11" s="134">
        <v>1</v>
      </c>
      <c r="N11" s="29">
        <f>SUM(H11:K11)</f>
        <v>1</v>
      </c>
      <c r="O11" s="24" t="str">
        <f>IF(N11=100%,"OK!","ERRO")</f>
        <v>OK!</v>
      </c>
    </row>
    <row r="12" spans="1:15" ht="15" customHeight="1">
      <c r="A12" s="704">
        <v>2</v>
      </c>
      <c r="B12" s="713" t="str">
        <f>RES!B7</f>
        <v>DRENAGEM E O.A.C.</v>
      </c>
      <c r="C12" s="177" t="s">
        <v>30</v>
      </c>
      <c r="D12" s="189">
        <f>RES!C7</f>
        <v>100009.1</v>
      </c>
      <c r="E12" s="739"/>
      <c r="F12" s="740"/>
      <c r="G12" s="741"/>
      <c r="H12" s="275">
        <f>H14*$O$12</f>
        <v>20001.820000000003</v>
      </c>
      <c r="I12" s="191">
        <f>I14*$O$12</f>
        <v>80007.28000000001</v>
      </c>
      <c r="J12" s="186"/>
      <c r="K12" s="183"/>
      <c r="L12" s="134"/>
      <c r="M12" s="134"/>
      <c r="N12" s="29"/>
      <c r="O12" s="26">
        <f>D12</f>
        <v>100009.1</v>
      </c>
    </row>
    <row r="13" spans="1:15" ht="4.5" customHeight="1">
      <c r="A13" s="705"/>
      <c r="B13" s="714"/>
      <c r="C13" s="178"/>
      <c r="D13" s="193"/>
      <c r="E13" s="739"/>
      <c r="F13" s="740"/>
      <c r="G13" s="741"/>
      <c r="H13" s="342"/>
      <c r="I13" s="194"/>
      <c r="J13" s="187"/>
      <c r="K13" s="184"/>
      <c r="L13" s="134"/>
      <c r="M13" s="134"/>
      <c r="N13" s="29"/>
      <c r="O13" s="25"/>
    </row>
    <row r="14" spans="1:15" ht="15.75" thickBot="1">
      <c r="A14" s="706"/>
      <c r="B14" s="715"/>
      <c r="C14" s="179" t="s">
        <v>12</v>
      </c>
      <c r="D14" s="196"/>
      <c r="E14" s="739"/>
      <c r="F14" s="740"/>
      <c r="G14" s="741"/>
      <c r="H14" s="276">
        <v>0.2</v>
      </c>
      <c r="I14" s="181">
        <v>0.8</v>
      </c>
      <c r="J14" s="188"/>
      <c r="K14" s="185"/>
      <c r="L14" s="134">
        <v>0</v>
      </c>
      <c r="M14" s="134">
        <v>1</v>
      </c>
      <c r="N14" s="29">
        <f>SUM(H14:K14)</f>
        <v>1</v>
      </c>
      <c r="O14" s="24" t="str">
        <f>IF(N14=100%,"OK!","ERRO")</f>
        <v>OK!</v>
      </c>
    </row>
    <row r="15" spans="1:15" ht="13.5" customHeight="1">
      <c r="A15" s="704">
        <v>3</v>
      </c>
      <c r="B15" s="713" t="str">
        <f>RES!B8</f>
        <v>PAVIMENTAÇÃO</v>
      </c>
      <c r="C15" s="177" t="s">
        <v>30</v>
      </c>
      <c r="D15" s="189">
        <f>RES!C8</f>
        <v>261804.9</v>
      </c>
      <c r="E15" s="739"/>
      <c r="F15" s="740"/>
      <c r="G15" s="741"/>
      <c r="H15" s="186"/>
      <c r="I15" s="191">
        <f>I17*$O$15</f>
        <v>52360.98</v>
      </c>
      <c r="J15" s="191">
        <f>J17*$O$15</f>
        <v>183263.43</v>
      </c>
      <c r="K15" s="192">
        <f>K17*$O$15</f>
        <v>26180.49</v>
      </c>
      <c r="L15" s="134"/>
      <c r="M15" s="134"/>
      <c r="N15" s="29"/>
      <c r="O15" s="26">
        <f>D15</f>
        <v>261804.9</v>
      </c>
    </row>
    <row r="16" spans="1:15" ht="4.5" customHeight="1">
      <c r="A16" s="705"/>
      <c r="B16" s="714"/>
      <c r="C16" s="178"/>
      <c r="D16" s="193"/>
      <c r="E16" s="739"/>
      <c r="F16" s="740"/>
      <c r="G16" s="741"/>
      <c r="H16" s="187"/>
      <c r="I16" s="194"/>
      <c r="J16" s="194"/>
      <c r="K16" s="195"/>
      <c r="L16" s="134"/>
      <c r="M16" s="134"/>
      <c r="N16" s="29"/>
      <c r="O16" s="25"/>
    </row>
    <row r="17" spans="1:15" ht="13.5" customHeight="1" thickBot="1">
      <c r="A17" s="706"/>
      <c r="B17" s="715"/>
      <c r="C17" s="179" t="s">
        <v>12</v>
      </c>
      <c r="D17" s="196"/>
      <c r="E17" s="739"/>
      <c r="F17" s="740"/>
      <c r="G17" s="741"/>
      <c r="H17" s="188"/>
      <c r="I17" s="181">
        <v>0.2</v>
      </c>
      <c r="J17" s="181">
        <v>0.7</v>
      </c>
      <c r="K17" s="182">
        <v>0.1</v>
      </c>
      <c r="L17" s="134">
        <v>0</v>
      </c>
      <c r="M17" s="134">
        <v>1</v>
      </c>
      <c r="N17" s="29">
        <f>SUM(H17:K17)</f>
        <v>0.9999999999999999</v>
      </c>
      <c r="O17" s="24" t="str">
        <f>IF(N17=100%,"OK!","ERRO")</f>
        <v>OK!</v>
      </c>
    </row>
    <row r="18" spans="1:15" ht="13.5" customHeight="1">
      <c r="A18" s="704">
        <v>4</v>
      </c>
      <c r="B18" s="713" t="str">
        <f>RES!B9</f>
        <v>SINALIZAÇÃO </v>
      </c>
      <c r="C18" s="177" t="s">
        <v>30</v>
      </c>
      <c r="D18" s="189">
        <f>RES!C9</f>
        <v>11748.2</v>
      </c>
      <c r="E18" s="739"/>
      <c r="F18" s="740"/>
      <c r="G18" s="741"/>
      <c r="H18" s="186"/>
      <c r="I18" s="186"/>
      <c r="J18" s="186"/>
      <c r="K18" s="192">
        <f>K20*$O$18</f>
        <v>11748.2</v>
      </c>
      <c r="L18" s="134"/>
      <c r="M18" s="134"/>
      <c r="N18" s="29"/>
      <c r="O18" s="26">
        <f>D18</f>
        <v>11748.2</v>
      </c>
    </row>
    <row r="19" spans="1:15" ht="4.5" customHeight="1">
      <c r="A19" s="705"/>
      <c r="B19" s="714"/>
      <c r="C19" s="178"/>
      <c r="D19" s="193"/>
      <c r="E19" s="739"/>
      <c r="F19" s="740"/>
      <c r="G19" s="741"/>
      <c r="H19" s="187"/>
      <c r="I19" s="187"/>
      <c r="J19" s="187"/>
      <c r="K19" s="195"/>
      <c r="L19" s="134"/>
      <c r="M19" s="134"/>
      <c r="N19" s="29"/>
      <c r="O19" s="25"/>
    </row>
    <row r="20" spans="1:15" ht="13.5" customHeight="1" thickBot="1">
      <c r="A20" s="706"/>
      <c r="B20" s="715"/>
      <c r="C20" s="179" t="s">
        <v>12</v>
      </c>
      <c r="D20" s="196"/>
      <c r="E20" s="739"/>
      <c r="F20" s="740"/>
      <c r="G20" s="741"/>
      <c r="H20" s="188"/>
      <c r="I20" s="188"/>
      <c r="J20" s="188"/>
      <c r="K20" s="182">
        <v>1</v>
      </c>
      <c r="L20" s="134">
        <v>0</v>
      </c>
      <c r="M20" s="134">
        <v>1</v>
      </c>
      <c r="N20" s="29">
        <f>SUM(H20:K20)</f>
        <v>1</v>
      </c>
      <c r="O20" s="24" t="str">
        <f>IF(N20=100%,"OK!","ERRO")</f>
        <v>OK!</v>
      </c>
    </row>
    <row r="21" spans="1:15" ht="13.5" customHeight="1">
      <c r="A21" s="704">
        <v>5</v>
      </c>
      <c r="B21" s="713" t="str">
        <f>RES!B10</f>
        <v>OBRAS COMPLEMENTARES E URBANISMO</v>
      </c>
      <c r="C21" s="177" t="s">
        <v>30</v>
      </c>
      <c r="D21" s="189">
        <f>RES!C10</f>
        <v>127783.23000000001</v>
      </c>
      <c r="E21" s="739"/>
      <c r="F21" s="740"/>
      <c r="G21" s="741"/>
      <c r="H21" s="186"/>
      <c r="I21" s="186"/>
      <c r="J21" s="191">
        <f>J23*$O$21</f>
        <v>63891.615000000005</v>
      </c>
      <c r="K21" s="192">
        <f>K23*$O$21</f>
        <v>63891.615000000005</v>
      </c>
      <c r="L21" s="134"/>
      <c r="M21" s="134"/>
      <c r="N21" s="29"/>
      <c r="O21" s="26">
        <f>D21</f>
        <v>127783.23000000001</v>
      </c>
    </row>
    <row r="22" spans="1:15" ht="4.5" customHeight="1">
      <c r="A22" s="705"/>
      <c r="B22" s="714"/>
      <c r="C22" s="178"/>
      <c r="D22" s="193"/>
      <c r="E22" s="739"/>
      <c r="F22" s="740"/>
      <c r="G22" s="741"/>
      <c r="H22" s="187"/>
      <c r="I22" s="187"/>
      <c r="J22" s="194"/>
      <c r="K22" s="195"/>
      <c r="L22" s="134"/>
      <c r="M22" s="134"/>
      <c r="N22" s="29"/>
      <c r="O22" s="25"/>
    </row>
    <row r="23" spans="1:15" ht="13.5" customHeight="1" thickBot="1">
      <c r="A23" s="706"/>
      <c r="B23" s="715"/>
      <c r="C23" s="179" t="s">
        <v>12</v>
      </c>
      <c r="D23" s="196"/>
      <c r="E23" s="739"/>
      <c r="F23" s="740"/>
      <c r="G23" s="741"/>
      <c r="H23" s="188"/>
      <c r="I23" s="188"/>
      <c r="J23" s="181">
        <v>0.5</v>
      </c>
      <c r="K23" s="182">
        <v>0.5</v>
      </c>
      <c r="L23" s="134">
        <v>0</v>
      </c>
      <c r="M23" s="134">
        <v>1</v>
      </c>
      <c r="N23" s="29">
        <f>SUM(H23:K23)</f>
        <v>1</v>
      </c>
      <c r="O23" s="24" t="str">
        <f>IF(N23=100%,"OK!","ERRO")</f>
        <v>OK!</v>
      </c>
    </row>
    <row r="24" spans="1:15" ht="13.5" customHeight="1">
      <c r="A24" s="704">
        <v>6</v>
      </c>
      <c r="B24" s="713" t="str">
        <f>RES!B11</f>
        <v>ILUMINAÇÃO PÚBLICA</v>
      </c>
      <c r="C24" s="177" t="s">
        <v>30</v>
      </c>
      <c r="D24" s="189">
        <f>RES!C11</f>
        <v>121486.69</v>
      </c>
      <c r="E24" s="739"/>
      <c r="F24" s="740"/>
      <c r="G24" s="741"/>
      <c r="H24" s="187"/>
      <c r="I24" s="187"/>
      <c r="J24" s="187"/>
      <c r="K24" s="192">
        <f>K26*$O$24</f>
        <v>121486.69</v>
      </c>
      <c r="L24" s="134"/>
      <c r="M24" s="134"/>
      <c r="N24" s="29"/>
      <c r="O24" s="26">
        <f>D24</f>
        <v>121486.69</v>
      </c>
    </row>
    <row r="25" spans="1:15" ht="4.5" customHeight="1">
      <c r="A25" s="705"/>
      <c r="B25" s="714"/>
      <c r="C25" s="178"/>
      <c r="D25" s="193"/>
      <c r="E25" s="739"/>
      <c r="F25" s="740"/>
      <c r="G25" s="741"/>
      <c r="H25" s="187"/>
      <c r="I25" s="187"/>
      <c r="J25" s="187"/>
      <c r="K25" s="195"/>
      <c r="L25" s="134"/>
      <c r="M25" s="134"/>
      <c r="N25" s="29"/>
      <c r="O25" s="25"/>
    </row>
    <row r="26" spans="1:15" ht="13.5" customHeight="1" thickBot="1">
      <c r="A26" s="706"/>
      <c r="B26" s="715"/>
      <c r="C26" s="179" t="s">
        <v>12</v>
      </c>
      <c r="D26" s="196"/>
      <c r="E26" s="739"/>
      <c r="F26" s="740"/>
      <c r="G26" s="741"/>
      <c r="H26" s="187"/>
      <c r="I26" s="187"/>
      <c r="J26" s="187"/>
      <c r="K26" s="556">
        <v>1</v>
      </c>
      <c r="L26" s="134">
        <v>0</v>
      </c>
      <c r="M26" s="134">
        <v>1</v>
      </c>
      <c r="N26" s="29">
        <f>SUM(H26:K26)</f>
        <v>1</v>
      </c>
      <c r="O26" s="24" t="str">
        <f>IF(N26=100%,"OK!","ERRO")</f>
        <v>OK!</v>
      </c>
    </row>
    <row r="27" spans="1:15" ht="13.5" customHeight="1">
      <c r="A27" s="704">
        <v>7</v>
      </c>
      <c r="B27" s="713" t="str">
        <f>RES!B12</f>
        <v>TRANSPORTES</v>
      </c>
      <c r="C27" s="177" t="s">
        <v>30</v>
      </c>
      <c r="D27" s="189">
        <f>RES!C12</f>
        <v>24793.21</v>
      </c>
      <c r="E27" s="739"/>
      <c r="F27" s="740"/>
      <c r="G27" s="741"/>
      <c r="H27" s="190">
        <f>H29*$O$27</f>
        <v>4958.642</v>
      </c>
      <c r="I27" s="191">
        <f>I29*$O$27</f>
        <v>7437.963</v>
      </c>
      <c r="J27" s="191">
        <f>J29*$O$27</f>
        <v>7437.963</v>
      </c>
      <c r="K27" s="192">
        <f>K29*$O$27</f>
        <v>4958.642</v>
      </c>
      <c r="L27" s="134"/>
      <c r="M27" s="134"/>
      <c r="N27" s="29"/>
      <c r="O27" s="26">
        <f>D27</f>
        <v>24793.21</v>
      </c>
    </row>
    <row r="28" spans="1:15" ht="4.5" customHeight="1">
      <c r="A28" s="705"/>
      <c r="B28" s="714"/>
      <c r="C28" s="178"/>
      <c r="D28" s="193"/>
      <c r="E28" s="739"/>
      <c r="F28" s="740"/>
      <c r="G28" s="741"/>
      <c r="H28" s="343"/>
      <c r="I28" s="194"/>
      <c r="J28" s="194"/>
      <c r="K28" s="195"/>
      <c r="L28" s="134"/>
      <c r="M28" s="134"/>
      <c r="N28" s="29"/>
      <c r="O28" s="25"/>
    </row>
    <row r="29" spans="1:15" ht="13.5" customHeight="1" thickBot="1">
      <c r="A29" s="706"/>
      <c r="B29" s="715"/>
      <c r="C29" s="179" t="s">
        <v>12</v>
      </c>
      <c r="D29" s="196"/>
      <c r="E29" s="739"/>
      <c r="F29" s="740"/>
      <c r="G29" s="741"/>
      <c r="H29" s="180">
        <v>0.2</v>
      </c>
      <c r="I29" s="181">
        <v>0.3</v>
      </c>
      <c r="J29" s="181">
        <v>0.3</v>
      </c>
      <c r="K29" s="182">
        <v>0.2</v>
      </c>
      <c r="L29" s="134">
        <v>0</v>
      </c>
      <c r="M29" s="134">
        <v>1</v>
      </c>
      <c r="N29" s="29">
        <f>SUM(H29:K29)</f>
        <v>1</v>
      </c>
      <c r="O29" s="24" t="str">
        <f>IF(N29=100%,"OK!","ERRO")</f>
        <v>OK!</v>
      </c>
    </row>
    <row r="30" spans="1:15" ht="13.5" customHeight="1">
      <c r="A30" s="704">
        <v>8</v>
      </c>
      <c r="B30" s="728" t="s">
        <v>35</v>
      </c>
      <c r="C30" s="177" t="s">
        <v>30</v>
      </c>
      <c r="D30" s="189">
        <f>RES!C13</f>
        <v>210783.62</v>
      </c>
      <c r="E30" s="739"/>
      <c r="F30" s="740"/>
      <c r="G30" s="741"/>
      <c r="H30" s="190">
        <f>H32*$O$30</f>
        <v>177058.2408</v>
      </c>
      <c r="I30" s="191">
        <f>I32*$O$30</f>
        <v>6323.508599999999</v>
      </c>
      <c r="J30" s="191">
        <f>J32*$O$30</f>
        <v>6323.508599999999</v>
      </c>
      <c r="K30" s="192">
        <f>K32*$O$30</f>
        <v>21078.362</v>
      </c>
      <c r="L30" s="128"/>
      <c r="M30" s="128"/>
      <c r="N30" s="28"/>
      <c r="O30" s="26">
        <f>D30</f>
        <v>210783.62</v>
      </c>
    </row>
    <row r="31" spans="1:15" ht="4.5" customHeight="1">
      <c r="A31" s="705"/>
      <c r="B31" s="714"/>
      <c r="C31" s="178"/>
      <c r="D31" s="193"/>
      <c r="E31" s="739"/>
      <c r="F31" s="740"/>
      <c r="G31" s="741"/>
      <c r="H31" s="343"/>
      <c r="I31" s="194"/>
      <c r="J31" s="194"/>
      <c r="K31" s="195"/>
      <c r="L31" s="135"/>
      <c r="M31" s="135"/>
      <c r="N31" s="28"/>
      <c r="O31" s="25"/>
    </row>
    <row r="32" spans="1:15" ht="13.5" customHeight="1" thickBot="1">
      <c r="A32" s="706"/>
      <c r="B32" s="715"/>
      <c r="C32" s="179" t="s">
        <v>12</v>
      </c>
      <c r="D32" s="196"/>
      <c r="E32" s="739"/>
      <c r="F32" s="740"/>
      <c r="G32" s="741"/>
      <c r="H32" s="180">
        <v>0.84</v>
      </c>
      <c r="I32" s="181">
        <v>0.03</v>
      </c>
      <c r="J32" s="181">
        <v>0.03</v>
      </c>
      <c r="K32" s="182">
        <v>0.1</v>
      </c>
      <c r="L32" s="136">
        <v>0</v>
      </c>
      <c r="M32" s="136">
        <v>1</v>
      </c>
      <c r="N32" s="29">
        <f>SUM(H32:K32)</f>
        <v>1</v>
      </c>
      <c r="O32" s="24" t="str">
        <f>IF(N32=100%,"OK!","ERRO")</f>
        <v>OK!</v>
      </c>
    </row>
    <row r="33" spans="1:15" ht="13.5" customHeight="1">
      <c r="A33" s="704">
        <v>9</v>
      </c>
      <c r="B33" s="728" t="s">
        <v>36</v>
      </c>
      <c r="C33" s="177" t="s">
        <v>30</v>
      </c>
      <c r="D33" s="189">
        <f>RES!C14</f>
        <v>52904.03</v>
      </c>
      <c r="E33" s="739"/>
      <c r="F33" s="740"/>
      <c r="G33" s="741"/>
      <c r="H33" s="190">
        <f>H35*$O$33</f>
        <v>12556.765893282813</v>
      </c>
      <c r="I33" s="191">
        <f>I35*$O$33</f>
        <v>11234.664869004788</v>
      </c>
      <c r="J33" s="191">
        <f>J35*$O$33</f>
        <v>14599.49188849061</v>
      </c>
      <c r="K33" s="192">
        <f>K35*$O$33</f>
        <v>14513.107349221793</v>
      </c>
      <c r="L33" s="128"/>
      <c r="M33" s="128"/>
      <c r="N33" s="29"/>
      <c r="O33" s="26">
        <f>D33</f>
        <v>52904.03</v>
      </c>
    </row>
    <row r="34" spans="1:15" ht="4.5" customHeight="1">
      <c r="A34" s="705"/>
      <c r="B34" s="714"/>
      <c r="C34" s="178"/>
      <c r="D34" s="197"/>
      <c r="E34" s="739"/>
      <c r="F34" s="740"/>
      <c r="G34" s="741"/>
      <c r="H34" s="343"/>
      <c r="I34" s="194"/>
      <c r="J34" s="194"/>
      <c r="K34" s="195"/>
      <c r="L34" s="135"/>
      <c r="M34" s="135"/>
      <c r="N34" s="29"/>
      <c r="O34" s="25"/>
    </row>
    <row r="35" spans="1:15" ht="13.5" customHeight="1" thickBot="1">
      <c r="A35" s="706"/>
      <c r="B35" s="715"/>
      <c r="C35" s="179" t="s">
        <v>12</v>
      </c>
      <c r="D35" s="198"/>
      <c r="E35" s="742"/>
      <c r="F35" s="743"/>
      <c r="G35" s="744"/>
      <c r="H35" s="180">
        <v>0.23734989363348713</v>
      </c>
      <c r="I35" s="180">
        <v>0.21235933952488664</v>
      </c>
      <c r="J35" s="180">
        <v>0.2759618102532191</v>
      </c>
      <c r="K35" s="272">
        <v>0.2743289565884072</v>
      </c>
      <c r="L35" s="136">
        <v>0</v>
      </c>
      <c r="M35" s="136">
        <v>1</v>
      </c>
      <c r="N35" s="29">
        <f>SUM(H35:K35)</f>
        <v>1</v>
      </c>
      <c r="O35" s="24" t="str">
        <f>IF(N35=100%,"OK!","ERRO")</f>
        <v>OK!</v>
      </c>
    </row>
    <row r="36" spans="1:15" ht="9.75" customHeight="1" thickBot="1">
      <c r="A36" s="729"/>
      <c r="B36" s="730"/>
      <c r="C36" s="730"/>
      <c r="D36" s="730"/>
      <c r="E36" s="731"/>
      <c r="F36" s="731"/>
      <c r="G36" s="731"/>
      <c r="H36" s="730"/>
      <c r="I36" s="730"/>
      <c r="J36" s="730"/>
      <c r="K36" s="732"/>
      <c r="L36" s="137"/>
      <c r="M36" s="137"/>
      <c r="N36" s="29"/>
      <c r="O36" s="25"/>
    </row>
    <row r="37" spans="1:15" ht="15">
      <c r="A37" s="716" t="s">
        <v>31</v>
      </c>
      <c r="B37" s="717"/>
      <c r="C37" s="717"/>
      <c r="D37" s="718"/>
      <c r="E37" s="695" t="s">
        <v>278</v>
      </c>
      <c r="F37" s="696"/>
      <c r="G37" s="697"/>
      <c r="H37" s="199">
        <f>H15+H30+H33+H12+H27+H21+H18+H9+H24</f>
        <v>223016.1886932828</v>
      </c>
      <c r="I37" s="200">
        <f>I15+I30+I33+I12+I18+I21+I27+I9+I24</f>
        <v>191127.2764690048</v>
      </c>
      <c r="J37" s="200">
        <f>J15+J30+J33+J12+J18+J21+J27+J9+J24</f>
        <v>275516.0084884906</v>
      </c>
      <c r="K37" s="201">
        <f>K15+K30+K33+K12+K18+K21+K27+K9+K24</f>
        <v>263857.1063492218</v>
      </c>
      <c r="L37" s="128"/>
      <c r="M37" s="128"/>
      <c r="N37" s="28"/>
      <c r="O37" s="26">
        <f>SUM(O9:O33)</f>
        <v>953516.58</v>
      </c>
    </row>
    <row r="38" spans="1:15" ht="15">
      <c r="A38" s="710" t="s">
        <v>32</v>
      </c>
      <c r="B38" s="711"/>
      <c r="C38" s="711"/>
      <c r="D38" s="712"/>
      <c r="E38" s="698"/>
      <c r="F38" s="699"/>
      <c r="G38" s="700"/>
      <c r="H38" s="202">
        <f>H37</f>
        <v>223016.1886932828</v>
      </c>
      <c r="I38" s="203">
        <f>H38+I37</f>
        <v>414143.4651622876</v>
      </c>
      <c r="J38" s="203">
        <f>I38+J37</f>
        <v>689659.4736507782</v>
      </c>
      <c r="K38" s="204">
        <f>J38+K37</f>
        <v>953516.58</v>
      </c>
      <c r="L38" s="128"/>
      <c r="M38" s="128"/>
      <c r="N38" s="24" t="str">
        <f>IF(K38=RES!C15,"OK!","ERRO")</f>
        <v>OK!</v>
      </c>
      <c r="O38" s="24"/>
    </row>
    <row r="39" spans="1:15" ht="15">
      <c r="A39" s="710" t="s">
        <v>33</v>
      </c>
      <c r="B39" s="711"/>
      <c r="C39" s="711"/>
      <c r="D39" s="712"/>
      <c r="E39" s="698"/>
      <c r="F39" s="699"/>
      <c r="G39" s="700"/>
      <c r="H39" s="205">
        <f>H37/$O$37</f>
        <v>0.2338881078431618</v>
      </c>
      <c r="I39" s="206">
        <f>I37/$O$37</f>
        <v>0.2004446283136522</v>
      </c>
      <c r="J39" s="206">
        <f>J37/$O$37</f>
        <v>0.2889472655928968</v>
      </c>
      <c r="K39" s="207">
        <f>K37/$O$37</f>
        <v>0.27671999825028926</v>
      </c>
      <c r="L39" s="138">
        <v>0</v>
      </c>
      <c r="M39" s="138"/>
      <c r="O39" s="24"/>
    </row>
    <row r="40" spans="1:15" ht="15.75" thickBot="1">
      <c r="A40" s="707" t="s">
        <v>34</v>
      </c>
      <c r="B40" s="708"/>
      <c r="C40" s="708"/>
      <c r="D40" s="709"/>
      <c r="E40" s="701"/>
      <c r="F40" s="702"/>
      <c r="G40" s="703"/>
      <c r="H40" s="208">
        <f>H39</f>
        <v>0.2338881078431618</v>
      </c>
      <c r="I40" s="209">
        <f>H40+I39</f>
        <v>0.434332736156814</v>
      </c>
      <c r="J40" s="209">
        <f>I40+J39</f>
        <v>0.7232800017497107</v>
      </c>
      <c r="K40" s="210">
        <f>J40+K39</f>
        <v>1</v>
      </c>
      <c r="L40" s="138">
        <v>1</v>
      </c>
      <c r="M40" s="138"/>
      <c r="N40" s="24"/>
      <c r="O40" s="24"/>
    </row>
    <row r="43" spans="1:11" ht="15">
      <c r="A43" s="644"/>
      <c r="B43" s="644"/>
      <c r="C43" s="644"/>
      <c r="D43" s="644"/>
      <c r="E43" s="644"/>
      <c r="F43" s="644"/>
      <c r="G43" s="644"/>
      <c r="H43" s="644"/>
      <c r="I43" s="644"/>
      <c r="J43" s="644"/>
      <c r="K43" s="644"/>
    </row>
  </sheetData>
  <sheetProtection/>
  <mergeCells count="28">
    <mergeCell ref="A9:A11"/>
    <mergeCell ref="B9:B11"/>
    <mergeCell ref="E9:G35"/>
    <mergeCell ref="A12:A14"/>
    <mergeCell ref="A30:A32"/>
    <mergeCell ref="B12:B14"/>
    <mergeCell ref="A15:A17"/>
    <mergeCell ref="B21:B23"/>
    <mergeCell ref="B27:B29"/>
    <mergeCell ref="A1:K3"/>
    <mergeCell ref="A7:K7"/>
    <mergeCell ref="B15:B17"/>
    <mergeCell ref="B33:B35"/>
    <mergeCell ref="B30:B32"/>
    <mergeCell ref="A36:K36"/>
    <mergeCell ref="A18:A20"/>
    <mergeCell ref="B18:B20"/>
    <mergeCell ref="A21:A23"/>
    <mergeCell ref="A27:A29"/>
    <mergeCell ref="A43:K43"/>
    <mergeCell ref="E37:G40"/>
    <mergeCell ref="A33:A35"/>
    <mergeCell ref="A40:D40"/>
    <mergeCell ref="A39:D39"/>
    <mergeCell ref="A24:A26"/>
    <mergeCell ref="B24:B26"/>
    <mergeCell ref="A38:D38"/>
    <mergeCell ref="A37:D37"/>
  </mergeCells>
  <conditionalFormatting sqref="O32">
    <cfRule type="containsText" priority="421" dxfId="36" operator="containsText" stopIfTrue="1" text="ERRO">
      <formula>NOT(ISERROR(SEARCH("ERRO",O32)))</formula>
    </cfRule>
    <cfRule type="containsText" priority="422" dxfId="37" operator="containsText" stopIfTrue="1" text="OK!">
      <formula>NOT(ISERROR(SEARCH("OK!",O32)))</formula>
    </cfRule>
    <cfRule type="cellIs" priority="424" dxfId="38" operator="equal" stopIfTrue="1">
      <formula>"""OK!"""</formula>
    </cfRule>
    <cfRule type="iconSet" priority="423" dxfId="39">
      <iconSet iconSet="3TrafficLights1">
        <cfvo type="percent" val="0"/>
        <cfvo type="percent" val="33"/>
        <cfvo type="percent" val="67"/>
      </iconSet>
    </cfRule>
    <cfRule type="cellIs" priority="425" dxfId="37" operator="equal" stopIfTrue="1">
      <formula>"""OK!"""</formula>
    </cfRule>
    <cfRule type="colorScale" priority="426" dxfId="39">
      <colorScale>
        <cfvo type="min" val="0"/>
        <cfvo type="max"/>
        <color rgb="FFFFEF9C"/>
        <color rgb="FF63BE7B"/>
      </colorScale>
    </cfRule>
  </conditionalFormatting>
  <conditionalFormatting sqref="O35">
    <cfRule type="containsText" priority="385" dxfId="36" operator="containsText" stopIfTrue="1" text="ERRO">
      <formula>NOT(ISERROR(SEARCH("ERRO",O35)))</formula>
    </cfRule>
    <cfRule type="containsText" priority="386" dxfId="37" operator="containsText" stopIfTrue="1" text="OK!">
      <formula>NOT(ISERROR(SEARCH("OK!",O35)))</formula>
    </cfRule>
    <cfRule type="cellIs" priority="388" dxfId="38" operator="equal" stopIfTrue="1">
      <formula>"""OK!"""</formula>
    </cfRule>
    <cfRule type="iconSet" priority="387" dxfId="39">
      <iconSet iconSet="3TrafficLights1">
        <cfvo type="percent" val="0"/>
        <cfvo type="percent" val="33"/>
        <cfvo type="percent" val="67"/>
      </iconSet>
    </cfRule>
    <cfRule type="cellIs" priority="389" dxfId="37" operator="equal" stopIfTrue="1">
      <formula>"""OK!"""</formula>
    </cfRule>
    <cfRule type="colorScale" priority="390" dxfId="39">
      <colorScale>
        <cfvo type="min" val="0"/>
        <cfvo type="max"/>
        <color rgb="FFFFEF9C"/>
        <color rgb="FF63BE7B"/>
      </colorScale>
    </cfRule>
  </conditionalFormatting>
  <conditionalFormatting sqref="N38">
    <cfRule type="containsText" priority="266" dxfId="36" operator="containsText" stopIfTrue="1" text="ERRO">
      <formula>NOT(ISERROR(SEARCH("ERRO",N38)))</formula>
    </cfRule>
    <cfRule type="containsText" priority="267" dxfId="37" operator="containsText" stopIfTrue="1" text="OK!">
      <formula>NOT(ISERROR(SEARCH("OK!",N38)))</formula>
    </cfRule>
    <cfRule type="cellIs" priority="269" dxfId="38" operator="equal" stopIfTrue="1">
      <formula>"""OK!"""</formula>
    </cfRule>
    <cfRule type="iconSet" priority="268" dxfId="39">
      <iconSet iconSet="3TrafficLights1">
        <cfvo type="percent" val="0"/>
        <cfvo type="percent" val="33"/>
        <cfvo type="percent" val="67"/>
      </iconSet>
    </cfRule>
    <cfRule type="cellIs" priority="270" dxfId="37" operator="equal" stopIfTrue="1">
      <formula>"""OK!"""</formula>
    </cfRule>
    <cfRule type="colorScale" priority="271" dxfId="39">
      <colorScale>
        <cfvo type="min" val="0"/>
        <cfvo type="max"/>
        <color rgb="FFFFEF9C"/>
        <color rgb="FF63BE7B"/>
      </colorScale>
    </cfRule>
  </conditionalFormatting>
  <conditionalFormatting sqref="N40">
    <cfRule type="containsText" priority="260" dxfId="36" operator="containsText" stopIfTrue="1" text="ERRO">
      <formula>NOT(ISERROR(SEARCH("ERRO",N40)))</formula>
    </cfRule>
    <cfRule type="containsText" priority="261" dxfId="37" operator="containsText" stopIfTrue="1" text="OK!">
      <formula>NOT(ISERROR(SEARCH("OK!",N40)))</formula>
    </cfRule>
    <cfRule type="cellIs" priority="263" dxfId="38" operator="equal" stopIfTrue="1">
      <formula>"""OK!"""</formula>
    </cfRule>
    <cfRule type="iconSet" priority="262" dxfId="39">
      <iconSet iconSet="3TrafficLights1">
        <cfvo type="percent" val="0"/>
        <cfvo type="percent" val="33"/>
        <cfvo type="percent" val="67"/>
      </iconSet>
    </cfRule>
    <cfRule type="cellIs" priority="264" dxfId="37" operator="equal" stopIfTrue="1">
      <formula>"""OK!"""</formula>
    </cfRule>
    <cfRule type="colorScale" priority="265" dxfId="39">
      <colorScale>
        <cfvo type="min" val="0"/>
        <cfvo type="max"/>
        <color rgb="FFFFEF9C"/>
        <color rgb="FF63BE7B"/>
      </colorScale>
    </cfRule>
  </conditionalFormatting>
  <conditionalFormatting sqref="H14:I14">
    <cfRule type="colorScale" priority="259" dxfId="39">
      <colorScale>
        <cfvo type="min" val="0"/>
        <cfvo type="max"/>
        <color rgb="FFFCFCFF"/>
        <color rgb="FF63BE7B"/>
      </colorScale>
    </cfRule>
  </conditionalFormatting>
  <conditionalFormatting sqref="O14">
    <cfRule type="containsText" priority="250" dxfId="36" operator="containsText" stopIfTrue="1" text="ERRO">
      <formula>NOT(ISERROR(SEARCH("ERRO",O14)))</formula>
    </cfRule>
    <cfRule type="containsText" priority="251" dxfId="37" operator="containsText" stopIfTrue="1" text="OK!">
      <formula>NOT(ISERROR(SEARCH("OK!",O14)))</formula>
    </cfRule>
    <cfRule type="cellIs" priority="253" dxfId="38" operator="equal" stopIfTrue="1">
      <formula>"""OK!"""</formula>
    </cfRule>
    <cfRule type="iconSet" priority="252" dxfId="39">
      <iconSet iconSet="3TrafficLights1">
        <cfvo type="percent" val="0"/>
        <cfvo type="percent" val="33"/>
        <cfvo type="percent" val="67"/>
      </iconSet>
    </cfRule>
    <cfRule type="cellIs" priority="254" dxfId="37" operator="equal" stopIfTrue="1">
      <formula>"""OK!"""</formula>
    </cfRule>
    <cfRule type="colorScale" priority="255" dxfId="39">
      <colorScale>
        <cfvo type="min" val="0"/>
        <cfvo type="max"/>
        <color rgb="FFFFEF9C"/>
        <color rgb="FF63BE7B"/>
      </colorScale>
    </cfRule>
  </conditionalFormatting>
  <conditionalFormatting sqref="N14">
    <cfRule type="colorScale" priority="249" dxfId="39">
      <colorScale>
        <cfvo type="min" val="0"/>
        <cfvo type="max"/>
        <color rgb="FFFCFCFF"/>
        <color rgb="FF63BE7B"/>
      </colorScale>
    </cfRule>
  </conditionalFormatting>
  <conditionalFormatting sqref="L12:M14">
    <cfRule type="colorScale" priority="248" dxfId="39">
      <colorScale>
        <cfvo type="min" val="0"/>
        <cfvo type="max"/>
        <color rgb="FFFCFCFF"/>
        <color rgb="FF63BE7B"/>
      </colorScale>
    </cfRule>
  </conditionalFormatting>
  <conditionalFormatting sqref="L14:N14">
    <cfRule type="colorScale" priority="247" dxfId="39">
      <colorScale>
        <cfvo type="min" val="0"/>
        <cfvo type="max"/>
        <color rgb="FFFCFCFF"/>
        <color rgb="FF63BE7B"/>
      </colorScale>
    </cfRule>
  </conditionalFormatting>
  <conditionalFormatting sqref="L39:N39 L40:M40 H39:K40">
    <cfRule type="colorScale" priority="496" dxfId="39">
      <colorScale>
        <cfvo type="min" val="0"/>
        <cfvo type="max"/>
        <color rgb="FFFCFCFF"/>
        <color rgb="FF63BE7B"/>
      </colorScale>
    </cfRule>
  </conditionalFormatting>
  <conditionalFormatting sqref="H14:I14 L14:N14">
    <cfRule type="colorScale" priority="509" dxfId="39">
      <colorScale>
        <cfvo type="min" val="0"/>
        <cfvo type="max"/>
        <color rgb="FFFCFCFF"/>
        <color rgb="FF63BE7B"/>
      </colorScale>
    </cfRule>
  </conditionalFormatting>
  <conditionalFormatting sqref="H32:N32">
    <cfRule type="colorScale" priority="43" dxfId="39">
      <colorScale>
        <cfvo type="min" val="0"/>
        <cfvo type="max"/>
        <color rgb="FFFCFCFF"/>
        <color rgb="FF63BE7B"/>
      </colorScale>
    </cfRule>
  </conditionalFormatting>
  <conditionalFormatting sqref="H35:N35">
    <cfRule type="colorScale" priority="42" dxfId="39">
      <colorScale>
        <cfvo type="min" val="0"/>
        <cfvo type="max"/>
        <color rgb="FFFCFCFF"/>
        <color rgb="FF63BE7B"/>
      </colorScale>
    </cfRule>
  </conditionalFormatting>
  <conditionalFormatting sqref="H39:M40">
    <cfRule type="colorScale" priority="515" dxfId="39">
      <colorScale>
        <cfvo type="min" val="0"/>
        <cfvo type="max"/>
        <color rgb="FFFCFCFF"/>
        <color rgb="FF63BE7B"/>
      </colorScale>
    </cfRule>
  </conditionalFormatting>
  <conditionalFormatting sqref="H14:I14 L14:M14">
    <cfRule type="colorScale" priority="521" dxfId="39">
      <colorScale>
        <cfvo type="min" val="0"/>
        <cfvo type="max"/>
        <color rgb="FFFCFCFF"/>
        <color rgb="FF63BE7B"/>
      </colorScale>
    </cfRule>
  </conditionalFormatting>
  <conditionalFormatting sqref="H14:I14 L14:O14">
    <cfRule type="colorScale" priority="531" dxfId="39">
      <colorScale>
        <cfvo type="min" val="0"/>
        <cfvo type="max"/>
        <color rgb="FFFCFCFF"/>
        <color rgb="FF63BE7B"/>
      </colorScale>
    </cfRule>
  </conditionalFormatting>
  <conditionalFormatting sqref="H32:O32">
    <cfRule type="colorScale" priority="533" dxfId="39">
      <colorScale>
        <cfvo type="min" val="0"/>
        <cfvo type="max"/>
        <color rgb="FFFCFCFF"/>
        <color rgb="FF63BE7B"/>
      </colorScale>
    </cfRule>
  </conditionalFormatting>
  <conditionalFormatting sqref="H35:O35">
    <cfRule type="colorScale" priority="535" dxfId="39">
      <colorScale>
        <cfvo type="min" val="0"/>
        <cfvo type="max"/>
        <color rgb="FFFCFCFF"/>
        <color rgb="FF63BE7B"/>
      </colorScale>
    </cfRule>
  </conditionalFormatting>
  <conditionalFormatting sqref="K9:K14">
    <cfRule type="colorScale" priority="96" dxfId="39">
      <colorScale>
        <cfvo type="min" val="0"/>
        <cfvo type="max"/>
        <color rgb="FFFCFCFF"/>
        <color rgb="FF63BE7B"/>
      </colorScale>
    </cfRule>
  </conditionalFormatting>
  <conditionalFormatting sqref="K14">
    <cfRule type="colorScale" priority="97" dxfId="39">
      <colorScale>
        <cfvo type="min" val="0"/>
        <cfvo type="max"/>
        <color rgb="FFFCFCFF"/>
        <color rgb="FF63BE7B"/>
      </colorScale>
    </cfRule>
  </conditionalFormatting>
  <conditionalFormatting sqref="K14">
    <cfRule type="colorScale" priority="98" dxfId="39">
      <colorScale>
        <cfvo type="min" val="0"/>
        <cfvo type="max"/>
        <color rgb="FFFCFCFF"/>
        <color rgb="FF63BE7B"/>
      </colorScale>
    </cfRule>
  </conditionalFormatting>
  <conditionalFormatting sqref="K14">
    <cfRule type="colorScale" priority="99" dxfId="39">
      <colorScale>
        <cfvo type="min" val="0"/>
        <cfvo type="max"/>
        <color rgb="FFFCFCFF"/>
        <color rgb="FF63BE7B"/>
      </colorScale>
    </cfRule>
  </conditionalFormatting>
  <conditionalFormatting sqref="O17">
    <cfRule type="containsText" priority="536" dxfId="36" operator="containsText" stopIfTrue="1" text="ERRO">
      <formula>NOT(ISERROR(SEARCH("ERRO",O17)))</formula>
    </cfRule>
    <cfRule type="containsText" priority="537" dxfId="37" operator="containsText" stopIfTrue="1" text="OK!">
      <formula>NOT(ISERROR(SEARCH("OK!",O17)))</formula>
    </cfRule>
    <cfRule type="cellIs" priority="539" dxfId="38" operator="equal" stopIfTrue="1">
      <formula>"""OK!"""</formula>
    </cfRule>
    <cfRule type="iconSet" priority="538" dxfId="39">
      <iconSet iconSet="3TrafficLights1">
        <cfvo type="percent" val="0"/>
        <cfvo type="percent" val="33"/>
        <cfvo type="percent" val="67"/>
      </iconSet>
    </cfRule>
    <cfRule type="cellIs" priority="540" dxfId="37" operator="equal" stopIfTrue="1">
      <formula>"""OK!"""</formula>
    </cfRule>
    <cfRule type="colorScale" priority="541" dxfId="39">
      <colorScale>
        <cfvo type="min" val="0"/>
        <cfvo type="max"/>
        <color rgb="FFFFEF9C"/>
        <color rgb="FF63BE7B"/>
      </colorScale>
    </cfRule>
  </conditionalFormatting>
  <conditionalFormatting sqref="I17:K17 N17">
    <cfRule type="colorScale" priority="542" dxfId="39">
      <colorScale>
        <cfvo type="min" val="0"/>
        <cfvo type="max"/>
        <color rgb="FFFCFCFF"/>
        <color rgb="FF63BE7B"/>
      </colorScale>
    </cfRule>
  </conditionalFormatting>
  <conditionalFormatting sqref="H15:H17">
    <cfRule type="colorScale" priority="544" dxfId="39">
      <colorScale>
        <cfvo type="min" val="0"/>
        <cfvo type="max"/>
        <color rgb="FFFCFCFF"/>
        <color rgb="FF63BE7B"/>
      </colorScale>
    </cfRule>
  </conditionalFormatting>
  <conditionalFormatting sqref="L15:M17">
    <cfRule type="colorScale" priority="549" dxfId="39">
      <colorScale>
        <cfvo type="min" val="0"/>
        <cfvo type="max"/>
        <color rgb="FFFCFCFF"/>
        <color rgb="FF63BE7B"/>
      </colorScale>
    </cfRule>
  </conditionalFormatting>
  <conditionalFormatting sqref="I17:N17">
    <cfRule type="colorScale" priority="550" dxfId="39">
      <colorScale>
        <cfvo type="min" val="0"/>
        <cfvo type="max"/>
        <color rgb="FFFCFCFF"/>
        <color rgb="FF63BE7B"/>
      </colorScale>
    </cfRule>
  </conditionalFormatting>
  <conditionalFormatting sqref="H17:N17">
    <cfRule type="colorScale" priority="47" dxfId="39">
      <colorScale>
        <cfvo type="min" val="0"/>
        <cfvo type="max"/>
        <color rgb="FFFCFCFF"/>
        <color rgb="FF63BE7B"/>
      </colorScale>
    </cfRule>
  </conditionalFormatting>
  <conditionalFormatting sqref="H17:M17">
    <cfRule type="colorScale" priority="552" dxfId="39">
      <colorScale>
        <cfvo type="min" val="0"/>
        <cfvo type="max"/>
        <color rgb="FFFCFCFF"/>
        <color rgb="FF63BE7B"/>
      </colorScale>
    </cfRule>
  </conditionalFormatting>
  <conditionalFormatting sqref="H17:O17">
    <cfRule type="colorScale" priority="553" dxfId="39">
      <colorScale>
        <cfvo type="min" val="0"/>
        <cfvo type="max"/>
        <color rgb="FFFCFCFF"/>
        <color rgb="FF63BE7B"/>
      </colorScale>
    </cfRule>
  </conditionalFormatting>
  <conditionalFormatting sqref="O20">
    <cfRule type="containsText" priority="83" dxfId="36" operator="containsText" stopIfTrue="1" text="ERRO">
      <formula>NOT(ISERROR(SEARCH("ERRO",O20)))</formula>
    </cfRule>
    <cfRule type="containsText" priority="84" dxfId="37" operator="containsText" stopIfTrue="1" text="OK!">
      <formula>NOT(ISERROR(SEARCH("OK!",O20)))</formula>
    </cfRule>
    <cfRule type="cellIs" priority="86" dxfId="38" operator="equal" stopIfTrue="1">
      <formula>"""OK!"""</formula>
    </cfRule>
    <cfRule type="iconSet" priority="85" dxfId="39">
      <iconSet iconSet="3TrafficLights1">
        <cfvo type="percent" val="0"/>
        <cfvo type="percent" val="33"/>
        <cfvo type="percent" val="67"/>
      </iconSet>
    </cfRule>
    <cfRule type="cellIs" priority="87" dxfId="37" operator="equal" stopIfTrue="1">
      <formula>"""OK!"""</formula>
    </cfRule>
    <cfRule type="colorScale" priority="88" dxfId="39">
      <colorScale>
        <cfvo type="min" val="0"/>
        <cfvo type="max"/>
        <color rgb="FFFFEF9C"/>
        <color rgb="FF63BE7B"/>
      </colorScale>
    </cfRule>
  </conditionalFormatting>
  <conditionalFormatting sqref="N20 K20">
    <cfRule type="colorScale" priority="89" dxfId="39">
      <colorScale>
        <cfvo type="min" val="0"/>
        <cfvo type="max"/>
        <color rgb="FFFCFCFF"/>
        <color rgb="FF63BE7B"/>
      </colorScale>
    </cfRule>
  </conditionalFormatting>
  <conditionalFormatting sqref="H18:H20">
    <cfRule type="colorScale" priority="90" dxfId="39">
      <colorScale>
        <cfvo type="min" val="0"/>
        <cfvo type="max"/>
        <color rgb="FFFCFCFF"/>
        <color rgb="FF63BE7B"/>
      </colorScale>
    </cfRule>
  </conditionalFormatting>
  <conditionalFormatting sqref="L18:M20">
    <cfRule type="colorScale" priority="91" dxfId="39">
      <colorScale>
        <cfvo type="min" val="0"/>
        <cfvo type="max"/>
        <color rgb="FFFCFCFF"/>
        <color rgb="FF63BE7B"/>
      </colorScale>
    </cfRule>
  </conditionalFormatting>
  <conditionalFormatting sqref="K20:N20">
    <cfRule type="colorScale" priority="92" dxfId="39">
      <colorScale>
        <cfvo type="min" val="0"/>
        <cfvo type="max"/>
        <color rgb="FFFCFCFF"/>
        <color rgb="FF63BE7B"/>
      </colorScale>
    </cfRule>
  </conditionalFormatting>
  <conditionalFormatting sqref="K20:N20 H20">
    <cfRule type="colorScale" priority="93" dxfId="39">
      <colorScale>
        <cfvo type="min" val="0"/>
        <cfvo type="max"/>
        <color rgb="FFFCFCFF"/>
        <color rgb="FF63BE7B"/>
      </colorScale>
    </cfRule>
  </conditionalFormatting>
  <conditionalFormatting sqref="K20:M20 H20">
    <cfRule type="colorScale" priority="94" dxfId="39">
      <colorScale>
        <cfvo type="min" val="0"/>
        <cfvo type="max"/>
        <color rgb="FFFCFCFF"/>
        <color rgb="FF63BE7B"/>
      </colorScale>
    </cfRule>
  </conditionalFormatting>
  <conditionalFormatting sqref="K20:O20 H20">
    <cfRule type="colorScale" priority="95" dxfId="39">
      <colorScale>
        <cfvo type="min" val="0"/>
        <cfvo type="max"/>
        <color rgb="FFFCFCFF"/>
        <color rgb="FF63BE7B"/>
      </colorScale>
    </cfRule>
  </conditionalFormatting>
  <conditionalFormatting sqref="O26 O23">
    <cfRule type="containsText" priority="70" dxfId="36" operator="containsText" stopIfTrue="1" text="ERRO">
      <formula>NOT(ISERROR(SEARCH("ERRO",O23)))</formula>
    </cfRule>
    <cfRule type="containsText" priority="71" dxfId="37" operator="containsText" stopIfTrue="1" text="OK!">
      <formula>NOT(ISERROR(SEARCH("OK!",O23)))</formula>
    </cfRule>
    <cfRule type="cellIs" priority="73" dxfId="38" operator="equal" stopIfTrue="1">
      <formula>"""OK!"""</formula>
    </cfRule>
    <cfRule type="iconSet" priority="72" dxfId="39">
      <iconSet iconSet="3TrafficLights1">
        <cfvo type="percent" val="0"/>
        <cfvo type="percent" val="33"/>
        <cfvo type="percent" val="67"/>
      </iconSet>
    </cfRule>
    <cfRule type="cellIs" priority="74" dxfId="37" operator="equal" stopIfTrue="1">
      <formula>"""OK!"""</formula>
    </cfRule>
    <cfRule type="colorScale" priority="75" dxfId="39">
      <colorScale>
        <cfvo type="min" val="0"/>
        <cfvo type="max"/>
        <color rgb="FFFFEF9C"/>
        <color rgb="FF63BE7B"/>
      </colorScale>
    </cfRule>
  </conditionalFormatting>
  <conditionalFormatting sqref="J23:K23 N23 N26 J26:K26 J24:J25">
    <cfRule type="colorScale" priority="76" dxfId="39">
      <colorScale>
        <cfvo type="min" val="0"/>
        <cfvo type="max"/>
        <color rgb="FFFCFCFF"/>
        <color rgb="FF63BE7B"/>
      </colorScale>
    </cfRule>
  </conditionalFormatting>
  <conditionalFormatting sqref="H21:H26">
    <cfRule type="colorScale" priority="77" dxfId="39">
      <colorScale>
        <cfvo type="min" val="0"/>
        <cfvo type="max"/>
        <color rgb="FFFCFCFF"/>
        <color rgb="FF63BE7B"/>
      </colorScale>
    </cfRule>
  </conditionalFormatting>
  <conditionalFormatting sqref="L21:M26">
    <cfRule type="colorScale" priority="78" dxfId="39">
      <colorScale>
        <cfvo type="min" val="0"/>
        <cfvo type="max"/>
        <color rgb="FFFCFCFF"/>
        <color rgb="FF63BE7B"/>
      </colorScale>
    </cfRule>
  </conditionalFormatting>
  <conditionalFormatting sqref="J23:N23 J26:N26 J24:J25">
    <cfRule type="colorScale" priority="79" dxfId="39">
      <colorScale>
        <cfvo type="min" val="0"/>
        <cfvo type="max"/>
        <color rgb="FFFCFCFF"/>
        <color rgb="FF63BE7B"/>
      </colorScale>
    </cfRule>
  </conditionalFormatting>
  <conditionalFormatting sqref="J23:N23 H23:H26 J26:N26 J24:J25">
    <cfRule type="colorScale" priority="80" dxfId="39">
      <colorScale>
        <cfvo type="min" val="0"/>
        <cfvo type="max"/>
        <color rgb="FFFCFCFF"/>
        <color rgb="FF63BE7B"/>
      </colorScale>
    </cfRule>
  </conditionalFormatting>
  <conditionalFormatting sqref="J23:M23 H23:H26 J26:M26 J24:J25">
    <cfRule type="colorScale" priority="81" dxfId="39">
      <colorScale>
        <cfvo type="min" val="0"/>
        <cfvo type="max"/>
        <color rgb="FFFCFCFF"/>
        <color rgb="FF63BE7B"/>
      </colorScale>
    </cfRule>
  </conditionalFormatting>
  <conditionalFormatting sqref="J23:O23 H23:H26 J26:O26 J24:J25">
    <cfRule type="colorScale" priority="82" dxfId="39">
      <colorScale>
        <cfvo type="min" val="0"/>
        <cfvo type="max"/>
        <color rgb="FFFCFCFF"/>
        <color rgb="FF63BE7B"/>
      </colorScale>
    </cfRule>
  </conditionalFormatting>
  <conditionalFormatting sqref="O29">
    <cfRule type="containsText" priority="57" dxfId="36" operator="containsText" stopIfTrue="1" text="ERRO">
      <formula>NOT(ISERROR(SEARCH("ERRO",O29)))</formula>
    </cfRule>
    <cfRule type="containsText" priority="58" dxfId="37" operator="containsText" stopIfTrue="1" text="OK!">
      <formula>NOT(ISERROR(SEARCH("OK!",O29)))</formula>
    </cfRule>
    <cfRule type="cellIs" priority="60" dxfId="38" operator="equal" stopIfTrue="1">
      <formula>"""OK!"""</formula>
    </cfRule>
    <cfRule type="iconSet" priority="59" dxfId="39">
      <iconSet iconSet="3TrafficLights1">
        <cfvo type="percent" val="0"/>
        <cfvo type="percent" val="33"/>
        <cfvo type="percent" val="67"/>
      </iconSet>
    </cfRule>
    <cfRule type="cellIs" priority="61" dxfId="37" operator="equal" stopIfTrue="1">
      <formula>"""OK!"""</formula>
    </cfRule>
    <cfRule type="colorScale" priority="62" dxfId="39">
      <colorScale>
        <cfvo type="min" val="0"/>
        <cfvo type="max"/>
        <color rgb="FFFFEF9C"/>
        <color rgb="FF63BE7B"/>
      </colorScale>
    </cfRule>
  </conditionalFormatting>
  <conditionalFormatting sqref="H29:K29 N29">
    <cfRule type="colorScale" priority="63" dxfId="39">
      <colorScale>
        <cfvo type="min" val="0"/>
        <cfvo type="max"/>
        <color rgb="FFFCFCFF"/>
        <color rgb="FF63BE7B"/>
      </colorScale>
    </cfRule>
  </conditionalFormatting>
  <conditionalFormatting sqref="L27:M29">
    <cfRule type="colorScale" priority="65" dxfId="39">
      <colorScale>
        <cfvo type="min" val="0"/>
        <cfvo type="max"/>
        <color rgb="FFFCFCFF"/>
        <color rgb="FF63BE7B"/>
      </colorScale>
    </cfRule>
  </conditionalFormatting>
  <conditionalFormatting sqref="H29:N29">
    <cfRule type="colorScale" priority="44" dxfId="39">
      <colorScale>
        <cfvo type="min" val="0"/>
        <cfvo type="max"/>
        <color rgb="FFFCFCFF"/>
        <color rgb="FF63BE7B"/>
      </colorScale>
    </cfRule>
  </conditionalFormatting>
  <conditionalFormatting sqref="H29:N29">
    <cfRule type="colorScale" priority="67" dxfId="39">
      <colorScale>
        <cfvo type="min" val="0"/>
        <cfvo type="max"/>
        <color rgb="FFFCFCFF"/>
        <color rgb="FF63BE7B"/>
      </colorScale>
    </cfRule>
  </conditionalFormatting>
  <conditionalFormatting sqref="H29:M29">
    <cfRule type="colorScale" priority="68" dxfId="39">
      <colorScale>
        <cfvo type="min" val="0"/>
        <cfvo type="max"/>
        <color rgb="FFFCFCFF"/>
        <color rgb="FF63BE7B"/>
      </colorScale>
    </cfRule>
  </conditionalFormatting>
  <conditionalFormatting sqref="H29:O29">
    <cfRule type="colorScale" priority="69" dxfId="39">
      <colorScale>
        <cfvo type="min" val="0"/>
        <cfvo type="max"/>
        <color rgb="FFFCFCFF"/>
        <color rgb="FF63BE7B"/>
      </colorScale>
    </cfRule>
  </conditionalFormatting>
  <conditionalFormatting sqref="I18:J20">
    <cfRule type="colorScale" priority="53" dxfId="39">
      <colorScale>
        <cfvo type="min" val="0"/>
        <cfvo type="max"/>
        <color rgb="FFFCFCFF"/>
        <color rgb="FF63BE7B"/>
      </colorScale>
    </cfRule>
  </conditionalFormatting>
  <conditionalFormatting sqref="I20:J20">
    <cfRule type="colorScale" priority="54" dxfId="39">
      <colorScale>
        <cfvo type="min" val="0"/>
        <cfvo type="max"/>
        <color rgb="FFFCFCFF"/>
        <color rgb="FF63BE7B"/>
      </colorScale>
    </cfRule>
  </conditionalFormatting>
  <conditionalFormatting sqref="I20:J20">
    <cfRule type="colorScale" priority="55" dxfId="39">
      <colorScale>
        <cfvo type="min" val="0"/>
        <cfvo type="max"/>
        <color rgb="FFFCFCFF"/>
        <color rgb="FF63BE7B"/>
      </colorScale>
    </cfRule>
  </conditionalFormatting>
  <conditionalFormatting sqref="I20:J20">
    <cfRule type="colorScale" priority="56" dxfId="39">
      <colorScale>
        <cfvo type="min" val="0"/>
        <cfvo type="max"/>
        <color rgb="FFFCFCFF"/>
        <color rgb="FF63BE7B"/>
      </colorScale>
    </cfRule>
  </conditionalFormatting>
  <conditionalFormatting sqref="I21:I26">
    <cfRule type="colorScale" priority="49" dxfId="39">
      <colorScale>
        <cfvo type="min" val="0"/>
        <cfvo type="max"/>
        <color rgb="FFFCFCFF"/>
        <color rgb="FF63BE7B"/>
      </colorScale>
    </cfRule>
  </conditionalFormatting>
  <conditionalFormatting sqref="I23:I26">
    <cfRule type="colorScale" priority="50" dxfId="39">
      <colorScale>
        <cfvo type="min" val="0"/>
        <cfvo type="max"/>
        <color rgb="FFFCFCFF"/>
        <color rgb="FF63BE7B"/>
      </colorScale>
    </cfRule>
  </conditionalFormatting>
  <conditionalFormatting sqref="I23:I26">
    <cfRule type="colorScale" priority="51" dxfId="39">
      <colorScale>
        <cfvo type="min" val="0"/>
        <cfvo type="max"/>
        <color rgb="FFFCFCFF"/>
        <color rgb="FF63BE7B"/>
      </colorScale>
    </cfRule>
  </conditionalFormatting>
  <conditionalFormatting sqref="I23:I26">
    <cfRule type="colorScale" priority="52" dxfId="39">
      <colorScale>
        <cfvo type="min" val="0"/>
        <cfvo type="max"/>
        <color rgb="FFFCFCFF"/>
        <color rgb="FF63BE7B"/>
      </colorScale>
    </cfRule>
  </conditionalFormatting>
  <conditionalFormatting sqref="H14:I14 K14:N14">
    <cfRule type="colorScale" priority="48" dxfId="39">
      <colorScale>
        <cfvo type="min" val="0"/>
        <cfvo type="max"/>
        <color rgb="FFFCFCFF"/>
        <color rgb="FF63BE7B"/>
      </colorScale>
    </cfRule>
  </conditionalFormatting>
  <conditionalFormatting sqref="H20:N20">
    <cfRule type="colorScale" priority="46" dxfId="39">
      <colorScale>
        <cfvo type="min" val="0"/>
        <cfvo type="max"/>
        <color rgb="FFFCFCFF"/>
        <color rgb="FF63BE7B"/>
      </colorScale>
    </cfRule>
  </conditionalFormatting>
  <conditionalFormatting sqref="H23:N23 H26:N26 H24:J25">
    <cfRule type="colorScale" priority="45" dxfId="39">
      <colorScale>
        <cfvo type="min" val="0"/>
        <cfvo type="max"/>
        <color rgb="FFFCFCFF"/>
        <color rgb="FF63BE7B"/>
      </colorScale>
    </cfRule>
  </conditionalFormatting>
  <conditionalFormatting sqref="H39:L40">
    <cfRule type="colorScale" priority="41" dxfId="39">
      <colorScale>
        <cfvo type="min" val="0"/>
        <cfvo type="max"/>
        <color rgb="FFFCFCFF"/>
        <color rgb="FF63BE7B"/>
      </colorScale>
    </cfRule>
  </conditionalFormatting>
  <conditionalFormatting sqref="J9:J14">
    <cfRule type="colorScale" priority="37" dxfId="39">
      <colorScale>
        <cfvo type="min" val="0"/>
        <cfvo type="max"/>
        <color rgb="FFFCFCFF"/>
        <color rgb="FF63BE7B"/>
      </colorScale>
    </cfRule>
  </conditionalFormatting>
  <conditionalFormatting sqref="J14">
    <cfRule type="colorScale" priority="38" dxfId="39">
      <colorScale>
        <cfvo type="min" val="0"/>
        <cfvo type="max"/>
        <color rgb="FFFCFCFF"/>
        <color rgb="FF63BE7B"/>
      </colorScale>
    </cfRule>
  </conditionalFormatting>
  <conditionalFormatting sqref="J14">
    <cfRule type="colorScale" priority="39" dxfId="39">
      <colorScale>
        <cfvo type="min" val="0"/>
        <cfvo type="max"/>
        <color rgb="FFFCFCFF"/>
        <color rgb="FF63BE7B"/>
      </colorScale>
    </cfRule>
  </conditionalFormatting>
  <conditionalFormatting sqref="J14">
    <cfRule type="colorScale" priority="40" dxfId="39">
      <colorScale>
        <cfvo type="min" val="0"/>
        <cfvo type="max"/>
        <color rgb="FFFCFCFF"/>
        <color rgb="FF63BE7B"/>
      </colorScale>
    </cfRule>
  </conditionalFormatting>
  <conditionalFormatting sqref="J14">
    <cfRule type="colorScale" priority="36" dxfId="39">
      <colorScale>
        <cfvo type="min" val="0"/>
        <cfvo type="max"/>
        <color rgb="FFFCFCFF"/>
        <color rgb="FF63BE7B"/>
      </colorScale>
    </cfRule>
  </conditionalFormatting>
  <conditionalFormatting sqref="K11">
    <cfRule type="colorScale" priority="29" dxfId="39">
      <colorScale>
        <cfvo type="min" val="0"/>
        <cfvo type="max"/>
        <color rgb="FFFCFCFF"/>
        <color rgb="FF63BE7B"/>
      </colorScale>
    </cfRule>
  </conditionalFormatting>
  <conditionalFormatting sqref="K11">
    <cfRule type="colorScale" priority="30" dxfId="39">
      <colorScale>
        <cfvo type="min" val="0"/>
        <cfvo type="max"/>
        <color rgb="FFFCFCFF"/>
        <color rgb="FF63BE7B"/>
      </colorScale>
    </cfRule>
  </conditionalFormatting>
  <conditionalFormatting sqref="K11">
    <cfRule type="colorScale" priority="31" dxfId="39">
      <colorScale>
        <cfvo type="min" val="0"/>
        <cfvo type="max"/>
        <color rgb="FFFCFCFF"/>
        <color rgb="FF63BE7B"/>
      </colorScale>
    </cfRule>
  </conditionalFormatting>
  <conditionalFormatting sqref="K11">
    <cfRule type="colorScale" priority="28" dxfId="39">
      <colorScale>
        <cfvo type="min" val="0"/>
        <cfvo type="max"/>
        <color rgb="FFFCFCFF"/>
        <color rgb="FF63BE7B"/>
      </colorScale>
    </cfRule>
  </conditionalFormatting>
  <conditionalFormatting sqref="J11">
    <cfRule type="colorScale" priority="25" dxfId="39">
      <colorScale>
        <cfvo type="min" val="0"/>
        <cfvo type="max"/>
        <color rgb="FFFCFCFF"/>
        <color rgb="FF63BE7B"/>
      </colorScale>
    </cfRule>
  </conditionalFormatting>
  <conditionalFormatting sqref="J11">
    <cfRule type="colorScale" priority="26" dxfId="39">
      <colorScale>
        <cfvo type="min" val="0"/>
        <cfvo type="max"/>
        <color rgb="FFFCFCFF"/>
        <color rgb="FF63BE7B"/>
      </colorScale>
    </cfRule>
  </conditionalFormatting>
  <conditionalFormatting sqref="J11">
    <cfRule type="colorScale" priority="27" dxfId="39">
      <colorScale>
        <cfvo type="min" val="0"/>
        <cfvo type="max"/>
        <color rgb="FFFCFCFF"/>
        <color rgb="FF63BE7B"/>
      </colorScale>
    </cfRule>
  </conditionalFormatting>
  <conditionalFormatting sqref="J11">
    <cfRule type="colorScale" priority="24" dxfId="39">
      <colorScale>
        <cfvo type="min" val="0"/>
        <cfvo type="max"/>
        <color rgb="FFFCFCFF"/>
        <color rgb="FF63BE7B"/>
      </colorScale>
    </cfRule>
  </conditionalFormatting>
  <conditionalFormatting sqref="H11:I11">
    <cfRule type="colorScale" priority="20" dxfId="39">
      <colorScale>
        <cfvo type="min" val="0"/>
        <cfvo type="max"/>
        <color rgb="FFFCFCFF"/>
        <color rgb="FF63BE7B"/>
      </colorScale>
    </cfRule>
  </conditionalFormatting>
  <conditionalFormatting sqref="H11:I11">
    <cfRule type="colorScale" priority="21" dxfId="39">
      <colorScale>
        <cfvo type="min" val="0"/>
        <cfvo type="max"/>
        <color rgb="FFFCFCFF"/>
        <color rgb="FF63BE7B"/>
      </colorScale>
    </cfRule>
  </conditionalFormatting>
  <conditionalFormatting sqref="H11:I11">
    <cfRule type="colorScale" priority="22" dxfId="39">
      <colorScale>
        <cfvo type="min" val="0"/>
        <cfvo type="max"/>
        <color rgb="FFFCFCFF"/>
        <color rgb="FF63BE7B"/>
      </colorScale>
    </cfRule>
  </conditionalFormatting>
  <conditionalFormatting sqref="H11:I11">
    <cfRule type="colorScale" priority="23" dxfId="39">
      <colorScale>
        <cfvo type="min" val="0"/>
        <cfvo type="max"/>
        <color rgb="FFFCFCFF"/>
        <color rgb="FF63BE7B"/>
      </colorScale>
    </cfRule>
  </conditionalFormatting>
  <conditionalFormatting sqref="H11:I11">
    <cfRule type="colorScale" priority="19" dxfId="39">
      <colorScale>
        <cfvo type="min" val="0"/>
        <cfvo type="max"/>
        <color rgb="FFFCFCFF"/>
        <color rgb="FF63BE7B"/>
      </colorScale>
    </cfRule>
  </conditionalFormatting>
  <conditionalFormatting sqref="O11">
    <cfRule type="containsText" priority="10" dxfId="36" operator="containsText" stopIfTrue="1" text="ERRO">
      <formula>NOT(ISERROR(SEARCH("ERRO",O11)))</formula>
    </cfRule>
    <cfRule type="containsText" priority="11" dxfId="37" operator="containsText" stopIfTrue="1" text="OK!">
      <formula>NOT(ISERROR(SEARCH("OK!",O11)))</formula>
    </cfRule>
    <cfRule type="cellIs" priority="13" dxfId="38" operator="equal" stopIfTrue="1">
      <formula>"""OK!"""</formula>
    </cfRule>
    <cfRule type="iconSet" priority="12" dxfId="39">
      <iconSet iconSet="3TrafficLights1">
        <cfvo type="percent" val="0"/>
        <cfvo type="percent" val="33"/>
        <cfvo type="percent" val="67"/>
      </iconSet>
    </cfRule>
    <cfRule type="cellIs" priority="14" dxfId="37" operator="equal" stopIfTrue="1">
      <formula>"""OK!"""</formula>
    </cfRule>
    <cfRule type="colorScale" priority="15" dxfId="39">
      <colorScale>
        <cfvo type="min" val="0"/>
        <cfvo type="max"/>
        <color rgb="FFFFEF9C"/>
        <color rgb="FF63BE7B"/>
      </colorScale>
    </cfRule>
  </conditionalFormatting>
  <conditionalFormatting sqref="N11">
    <cfRule type="colorScale" priority="9" dxfId="39">
      <colorScale>
        <cfvo type="min" val="0"/>
        <cfvo type="max"/>
        <color rgb="FFFCFCFF"/>
        <color rgb="FF63BE7B"/>
      </colorScale>
    </cfRule>
  </conditionalFormatting>
  <conditionalFormatting sqref="L9:M11">
    <cfRule type="colorScale" priority="8" dxfId="39">
      <colorScale>
        <cfvo type="min" val="0"/>
        <cfvo type="max"/>
        <color rgb="FFFCFCFF"/>
        <color rgb="FF63BE7B"/>
      </colorScale>
    </cfRule>
  </conditionalFormatting>
  <conditionalFormatting sqref="L11:N11">
    <cfRule type="colorScale" priority="7" dxfId="39">
      <colorScale>
        <cfvo type="min" val="0"/>
        <cfvo type="max"/>
        <color rgb="FFFCFCFF"/>
        <color rgb="FF63BE7B"/>
      </colorScale>
    </cfRule>
  </conditionalFormatting>
  <conditionalFormatting sqref="L11:N11">
    <cfRule type="colorScale" priority="16" dxfId="39">
      <colorScale>
        <cfvo type="min" val="0"/>
        <cfvo type="max"/>
        <color rgb="FFFCFCFF"/>
        <color rgb="FF63BE7B"/>
      </colorScale>
    </cfRule>
  </conditionalFormatting>
  <conditionalFormatting sqref="L11:M11">
    <cfRule type="colorScale" priority="17" dxfId="39">
      <colorScale>
        <cfvo type="min" val="0"/>
        <cfvo type="max"/>
        <color rgb="FFFCFCFF"/>
        <color rgb="FF63BE7B"/>
      </colorScale>
    </cfRule>
  </conditionalFormatting>
  <conditionalFormatting sqref="L11:O11">
    <cfRule type="colorScale" priority="18" dxfId="39">
      <colorScale>
        <cfvo type="min" val="0"/>
        <cfvo type="max"/>
        <color rgb="FFFCFCFF"/>
        <color rgb="FF63BE7B"/>
      </colorScale>
    </cfRule>
  </conditionalFormatting>
  <conditionalFormatting sqref="L11:N11">
    <cfRule type="colorScale" priority="6" dxfId="39">
      <colorScale>
        <cfvo type="min" val="0"/>
        <cfvo type="max"/>
        <color rgb="FFFCFCFF"/>
        <color rgb="FF63BE7B"/>
      </colorScale>
    </cfRule>
  </conditionalFormatting>
  <conditionalFormatting sqref="H11:N11">
    <cfRule type="colorScale" priority="5" dxfId="39">
      <colorScale>
        <cfvo type="min" val="0"/>
        <cfvo type="max"/>
        <color rgb="FFFCFCFF"/>
        <color rgb="FF63BE7B"/>
      </colorScale>
    </cfRule>
  </conditionalFormatting>
  <conditionalFormatting sqref="J24:J26">
    <cfRule type="colorScale" priority="1" dxfId="39">
      <colorScale>
        <cfvo type="min" val="0"/>
        <cfvo type="max"/>
        <color rgb="FFFCFCFF"/>
        <color rgb="FF63BE7B"/>
      </colorScale>
    </cfRule>
  </conditionalFormatting>
  <conditionalFormatting sqref="J24:J26">
    <cfRule type="colorScale" priority="2" dxfId="39">
      <colorScale>
        <cfvo type="min" val="0"/>
        <cfvo type="max"/>
        <color rgb="FFFCFCFF"/>
        <color rgb="FF63BE7B"/>
      </colorScale>
    </cfRule>
  </conditionalFormatting>
  <conditionalFormatting sqref="J24:J26">
    <cfRule type="colorScale" priority="3" dxfId="39">
      <colorScale>
        <cfvo type="min" val="0"/>
        <cfvo type="max"/>
        <color rgb="FFFCFCFF"/>
        <color rgb="FF63BE7B"/>
      </colorScale>
    </cfRule>
  </conditionalFormatting>
  <conditionalFormatting sqref="J24:J26">
    <cfRule type="colorScale" priority="4" dxfId="39">
      <colorScale>
        <cfvo type="min" val="0"/>
        <cfvo type="max"/>
        <color rgb="FFFCFCFF"/>
        <color rgb="FF63BE7B"/>
      </colorScale>
    </cfRule>
  </conditionalFormatting>
  <printOptions horizontalCentered="1"/>
  <pageMargins left="0.25" right="0.25" top="0.75" bottom="0.75" header="0.3" footer="0.3"/>
  <pageSetup firstPageNumber="106" useFirstPageNumber="1" fitToHeight="1" fitToWidth="1" horizontalDpi="600" verticalDpi="600" orientation="landscape" paperSize="9" scale="78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view="pageBreakPreview" zoomScale="60" zoomScalePageLayoutView="0" workbookViewId="0" topLeftCell="A64">
      <selection activeCell="B392" sqref="B392"/>
    </sheetView>
  </sheetViews>
  <sheetFormatPr defaultColWidth="15.421875" defaultRowHeight="16.5" customHeight="1"/>
  <cols>
    <col min="1" max="1" width="6.28125" style="436" customWidth="1"/>
    <col min="2" max="2" width="77.8515625" style="436" customWidth="1"/>
    <col min="3" max="3" width="4.7109375" style="436" customWidth="1"/>
    <col min="4" max="4" width="10.7109375" style="436" customWidth="1"/>
    <col min="5" max="5" width="12.7109375" style="436" customWidth="1"/>
    <col min="6" max="6" width="13.7109375" style="436" customWidth="1"/>
    <col min="7" max="9" width="10.7109375" style="436" customWidth="1"/>
    <col min="10" max="16384" width="15.421875" style="436" customWidth="1"/>
  </cols>
  <sheetData>
    <row r="1" spans="1:9" ht="66.75" customHeight="1" thickBot="1">
      <c r="A1" s="745" t="s">
        <v>274</v>
      </c>
      <c r="B1" s="746"/>
      <c r="C1" s="746"/>
      <c r="D1" s="746"/>
      <c r="E1" s="746"/>
      <c r="F1" s="746"/>
      <c r="G1" s="746"/>
      <c r="H1" s="746"/>
      <c r="I1" s="747"/>
    </row>
    <row r="2" spans="1:9" ht="33.75">
      <c r="A2" s="337" t="s">
        <v>1</v>
      </c>
      <c r="B2" s="336" t="s">
        <v>2</v>
      </c>
      <c r="C2" s="336" t="s">
        <v>18</v>
      </c>
      <c r="D2" s="336" t="s">
        <v>19</v>
      </c>
      <c r="E2" s="336" t="s">
        <v>318</v>
      </c>
      <c r="F2" s="336" t="s">
        <v>39</v>
      </c>
      <c r="G2" s="336" t="s">
        <v>12</v>
      </c>
      <c r="H2" s="336" t="s">
        <v>272</v>
      </c>
      <c r="I2" s="338" t="s">
        <v>273</v>
      </c>
    </row>
    <row r="3" spans="1:9" ht="11.25">
      <c r="A3" s="335" t="s">
        <v>424</v>
      </c>
      <c r="B3" s="139" t="s">
        <v>340</v>
      </c>
      <c r="C3" s="140" t="s">
        <v>5</v>
      </c>
      <c r="D3" s="146">
        <v>19.86535013915519</v>
      </c>
      <c r="E3" s="140">
        <v>6117.474595324801</v>
      </c>
      <c r="F3" s="437">
        <v>121554.13</v>
      </c>
      <c r="G3" s="438">
        <f>F3/RES!$C$15</f>
        <v>0.1274798284052911</v>
      </c>
      <c r="H3" s="439">
        <f>G3</f>
        <v>0.1274798284052911</v>
      </c>
      <c r="I3" s="339" t="str">
        <f>IF(H3&lt;=80%,"A",IF(H3&lt;=95%,"B","C"))</f>
        <v>A</v>
      </c>
    </row>
    <row r="4" spans="1:9" ht="22.5">
      <c r="A4" s="335" t="s">
        <v>332</v>
      </c>
      <c r="B4" s="534" t="s">
        <v>524</v>
      </c>
      <c r="C4" s="140" t="s">
        <v>148</v>
      </c>
      <c r="D4" s="146">
        <v>20</v>
      </c>
      <c r="E4" s="140">
        <v>3791.5350599999997</v>
      </c>
      <c r="F4" s="140">
        <v>75830.8</v>
      </c>
      <c r="G4" s="439">
        <f>F4/RES!$C$15</f>
        <v>0.07952751068051696</v>
      </c>
      <c r="H4" s="439">
        <f>H3+G4</f>
        <v>0.20700733908580804</v>
      </c>
      <c r="I4" s="339" t="str">
        <f>IF(H4&lt;=80%,"A",IF(H4&lt;=95%,"B","C"))</f>
        <v>A</v>
      </c>
    </row>
    <row r="5" spans="1:9" ht="11.25">
      <c r="A5" s="335" t="s">
        <v>423</v>
      </c>
      <c r="B5" s="139" t="s">
        <v>343</v>
      </c>
      <c r="C5" s="140" t="s">
        <v>5</v>
      </c>
      <c r="D5" s="141">
        <v>245.03971199999987</v>
      </c>
      <c r="E5" s="140">
        <v>219.37394799999998</v>
      </c>
      <c r="F5" s="140">
        <v>53754.42</v>
      </c>
      <c r="G5" s="439">
        <f>F5/RES!$C$15</f>
        <v>0.05637491903916343</v>
      </c>
      <c r="H5" s="439">
        <f aca="true" t="shared" si="0" ref="H5:H68">H4+G5</f>
        <v>0.26338225812497146</v>
      </c>
      <c r="I5" s="339" t="str">
        <f aca="true" t="shared" si="1" ref="I5:I68">IF(H5&lt;=80%,"A",IF(H5&lt;=95%,"B","C"))</f>
        <v>A</v>
      </c>
    </row>
    <row r="6" spans="1:9" ht="11.25">
      <c r="A6" s="335" t="s">
        <v>464</v>
      </c>
      <c r="B6" s="139" t="s">
        <v>37</v>
      </c>
      <c r="C6" s="140" t="s">
        <v>148</v>
      </c>
      <c r="D6" s="146">
        <v>1</v>
      </c>
      <c r="E6" s="140">
        <v>52904.03336</v>
      </c>
      <c r="F6" s="140">
        <v>52904.03</v>
      </c>
      <c r="G6" s="439">
        <f>F6/RES!$C$15</f>
        <v>0.055483072984425716</v>
      </c>
      <c r="H6" s="439">
        <f t="shared" si="0"/>
        <v>0.3188653311093972</v>
      </c>
      <c r="I6" s="339" t="str">
        <f t="shared" si="1"/>
        <v>A</v>
      </c>
    </row>
    <row r="7" spans="1:9" ht="22.5">
      <c r="A7" s="440" t="s">
        <v>327</v>
      </c>
      <c r="B7" s="441" t="s">
        <v>499</v>
      </c>
      <c r="C7" s="140" t="s">
        <v>569</v>
      </c>
      <c r="D7" s="141">
        <v>514.8</v>
      </c>
      <c r="E7" s="442">
        <v>70.551372</v>
      </c>
      <c r="F7" s="140">
        <v>36319.14</v>
      </c>
      <c r="G7" s="439">
        <f>F7/RES!$C$15</f>
        <v>0.038089678524520255</v>
      </c>
      <c r="H7" s="439">
        <f t="shared" si="0"/>
        <v>0.35695500963391746</v>
      </c>
      <c r="I7" s="339" t="str">
        <f t="shared" si="1"/>
        <v>A</v>
      </c>
    </row>
    <row r="8" spans="1:9" ht="22.5">
      <c r="A8" s="335" t="s">
        <v>480</v>
      </c>
      <c r="B8" s="139" t="s">
        <v>261</v>
      </c>
      <c r="C8" s="140" t="s">
        <v>308</v>
      </c>
      <c r="D8" s="141">
        <v>140</v>
      </c>
      <c r="E8" s="140">
        <v>256.33</v>
      </c>
      <c r="F8" s="140">
        <v>35886.2</v>
      </c>
      <c r="G8" s="439">
        <f>F8/RES!$C$15</f>
        <v>0.0376356329325705</v>
      </c>
      <c r="H8" s="439">
        <f t="shared" si="0"/>
        <v>0.39459064256648796</v>
      </c>
      <c r="I8" s="339" t="str">
        <f t="shared" si="1"/>
        <v>A</v>
      </c>
    </row>
    <row r="9" spans="1:9" ht="11.25">
      <c r="A9" s="443" t="s">
        <v>326</v>
      </c>
      <c r="B9" s="139" t="s">
        <v>497</v>
      </c>
      <c r="C9" s="140" t="s">
        <v>569</v>
      </c>
      <c r="D9" s="146">
        <v>646.3499999999999</v>
      </c>
      <c r="E9" s="140">
        <v>52.978272000000004</v>
      </c>
      <c r="F9" s="140">
        <v>34243.62</v>
      </c>
      <c r="G9" s="439">
        <f>F9/RES!$C$15</f>
        <v>0.0359129780417662</v>
      </c>
      <c r="H9" s="439">
        <f t="shared" si="0"/>
        <v>0.43050362060825415</v>
      </c>
      <c r="I9" s="339" t="str">
        <f t="shared" si="1"/>
        <v>A</v>
      </c>
    </row>
    <row r="10" spans="1:9" ht="11.25">
      <c r="A10" s="335" t="s">
        <v>468</v>
      </c>
      <c r="B10" s="139" t="s">
        <v>269</v>
      </c>
      <c r="C10" s="140" t="s">
        <v>308</v>
      </c>
      <c r="D10" s="146">
        <v>1500</v>
      </c>
      <c r="E10" s="140">
        <v>19.76</v>
      </c>
      <c r="F10" s="140">
        <v>29640</v>
      </c>
      <c r="G10" s="439">
        <f>F10/RES!$C$15</f>
        <v>0.03108493404488048</v>
      </c>
      <c r="H10" s="439">
        <f t="shared" si="0"/>
        <v>0.46158855465313464</v>
      </c>
      <c r="I10" s="339" t="str">
        <f t="shared" si="1"/>
        <v>A</v>
      </c>
    </row>
    <row r="11" spans="1:9" ht="11.25">
      <c r="A11" s="335" t="s">
        <v>470</v>
      </c>
      <c r="B11" s="139" t="s">
        <v>271</v>
      </c>
      <c r="C11" s="140" t="s">
        <v>308</v>
      </c>
      <c r="D11" s="444">
        <v>800</v>
      </c>
      <c r="E11" s="140">
        <v>35.46</v>
      </c>
      <c r="F11" s="140">
        <v>28368</v>
      </c>
      <c r="G11" s="439">
        <f>F11/RES!$C$15</f>
        <v>0.029750924729594112</v>
      </c>
      <c r="H11" s="439">
        <f t="shared" si="0"/>
        <v>0.49133947938272876</v>
      </c>
      <c r="I11" s="339" t="str">
        <f t="shared" si="1"/>
        <v>A</v>
      </c>
    </row>
    <row r="12" spans="1:9" ht="11.25">
      <c r="A12" s="335" t="s">
        <v>418</v>
      </c>
      <c r="B12" s="139" t="s">
        <v>391</v>
      </c>
      <c r="C12" s="140" t="s">
        <v>4</v>
      </c>
      <c r="D12" s="444">
        <v>131.20000000000002</v>
      </c>
      <c r="E12" s="140">
        <v>206.733648</v>
      </c>
      <c r="F12" s="140">
        <v>27122.98</v>
      </c>
      <c r="G12" s="439">
        <f>F12/RES!$C$15</f>
        <v>0.02844521067478449</v>
      </c>
      <c r="H12" s="439">
        <f t="shared" si="0"/>
        <v>0.5197846900575133</v>
      </c>
      <c r="I12" s="339" t="str">
        <f t="shared" si="1"/>
        <v>A</v>
      </c>
    </row>
    <row r="13" spans="1:9" ht="11.25">
      <c r="A13" s="335" t="s">
        <v>194</v>
      </c>
      <c r="B13" s="139" t="s">
        <v>149</v>
      </c>
      <c r="C13" s="140" t="s">
        <v>150</v>
      </c>
      <c r="D13" s="146">
        <v>56</v>
      </c>
      <c r="E13" s="140">
        <v>439.32750000000004</v>
      </c>
      <c r="F13" s="140">
        <v>24602.48</v>
      </c>
      <c r="G13" s="439">
        <f>F13/RES!$C$15</f>
        <v>0.025801837656561778</v>
      </c>
      <c r="H13" s="439">
        <f t="shared" si="0"/>
        <v>0.545586527714075</v>
      </c>
      <c r="I13" s="339" t="str">
        <f t="shared" si="1"/>
        <v>A</v>
      </c>
    </row>
    <row r="14" spans="1:9" ht="11.25">
      <c r="A14" s="335" t="s">
        <v>335</v>
      </c>
      <c r="B14" s="139" t="s">
        <v>245</v>
      </c>
      <c r="C14" s="140" t="s">
        <v>246</v>
      </c>
      <c r="D14" s="141">
        <v>25319.74170632729</v>
      </c>
      <c r="E14" s="140">
        <v>0.912568</v>
      </c>
      <c r="F14" s="140">
        <v>23040.96</v>
      </c>
      <c r="G14" s="439">
        <f>F14/RES!$C$15</f>
        <v>0.024164194397123123</v>
      </c>
      <c r="H14" s="439">
        <f t="shared" si="0"/>
        <v>0.5697507221111981</v>
      </c>
      <c r="I14" s="339" t="str">
        <f t="shared" si="1"/>
        <v>A</v>
      </c>
    </row>
    <row r="15" spans="1:9" ht="11.25">
      <c r="A15" s="335" t="s">
        <v>357</v>
      </c>
      <c r="B15" s="139" t="s">
        <v>307</v>
      </c>
      <c r="C15" s="140" t="s">
        <v>4</v>
      </c>
      <c r="D15" s="146">
        <v>52.480000000000004</v>
      </c>
      <c r="E15" s="140">
        <v>408.892124</v>
      </c>
      <c r="F15" s="140">
        <v>21458.55</v>
      </c>
      <c r="G15" s="439">
        <f>F15/RES!$C$15</f>
        <v>0.022504642761429487</v>
      </c>
      <c r="H15" s="439">
        <f t="shared" si="0"/>
        <v>0.5922553648726276</v>
      </c>
      <c r="I15" s="339" t="str">
        <f t="shared" si="1"/>
        <v>A</v>
      </c>
    </row>
    <row r="16" spans="1:9" ht="11.25">
      <c r="A16" s="443" t="s">
        <v>195</v>
      </c>
      <c r="B16" s="139" t="s">
        <v>242</v>
      </c>
      <c r="C16" s="140" t="s">
        <v>243</v>
      </c>
      <c r="D16" s="146">
        <v>17</v>
      </c>
      <c r="E16" s="140">
        <v>1120.92</v>
      </c>
      <c r="F16" s="140">
        <v>19055.64</v>
      </c>
      <c r="G16" s="439">
        <f>F16/RES!$C$15</f>
        <v>0.019984592192408442</v>
      </c>
      <c r="H16" s="439">
        <f t="shared" si="0"/>
        <v>0.6122399570650361</v>
      </c>
      <c r="I16" s="339" t="str">
        <f t="shared" si="1"/>
        <v>A</v>
      </c>
    </row>
    <row r="17" spans="1:9" ht="22.5">
      <c r="A17" s="335" t="s">
        <v>441</v>
      </c>
      <c r="B17" s="139" t="s">
        <v>571</v>
      </c>
      <c r="C17" s="140" t="s">
        <v>313</v>
      </c>
      <c r="D17" s="146">
        <v>142.4</v>
      </c>
      <c r="E17" s="140">
        <v>121.43</v>
      </c>
      <c r="F17" s="140">
        <v>17291.63</v>
      </c>
      <c r="G17" s="439">
        <f>F17/RES!$C$15</f>
        <v>0.018134587654469524</v>
      </c>
      <c r="H17" s="439">
        <f t="shared" si="0"/>
        <v>0.6303745447195056</v>
      </c>
      <c r="I17" s="339" t="str">
        <f t="shared" si="1"/>
        <v>A</v>
      </c>
    </row>
    <row r="18" spans="1:9" ht="11.25">
      <c r="A18" s="335" t="s">
        <v>416</v>
      </c>
      <c r="B18" s="139" t="s">
        <v>389</v>
      </c>
      <c r="C18" s="140" t="s">
        <v>313</v>
      </c>
      <c r="D18" s="146">
        <v>656</v>
      </c>
      <c r="E18" s="140">
        <v>26.16</v>
      </c>
      <c r="F18" s="140">
        <v>17160.96</v>
      </c>
      <c r="G18" s="439">
        <f>F18/RES!$C$15</f>
        <v>0.017997547562308775</v>
      </c>
      <c r="H18" s="439">
        <f t="shared" si="0"/>
        <v>0.6483720922818144</v>
      </c>
      <c r="I18" s="339" t="str">
        <f t="shared" si="1"/>
        <v>A</v>
      </c>
    </row>
    <row r="19" spans="1:9" ht="22.5">
      <c r="A19" s="335" t="s">
        <v>478</v>
      </c>
      <c r="B19" s="139" t="s">
        <v>259</v>
      </c>
      <c r="C19" s="140" t="s">
        <v>308</v>
      </c>
      <c r="D19" s="146">
        <v>20</v>
      </c>
      <c r="E19" s="140">
        <v>802.52</v>
      </c>
      <c r="F19" s="140">
        <v>16050.4</v>
      </c>
      <c r="G19" s="439">
        <f>F19/RES!$C$15</f>
        <v>0.016832848360119758</v>
      </c>
      <c r="H19" s="439">
        <f t="shared" si="0"/>
        <v>0.6652049406419341</v>
      </c>
      <c r="I19" s="339" t="str">
        <f t="shared" si="1"/>
        <v>A</v>
      </c>
    </row>
    <row r="20" spans="1:9" ht="11.25">
      <c r="A20" s="335" t="s">
        <v>420</v>
      </c>
      <c r="B20" s="139" t="s">
        <v>343</v>
      </c>
      <c r="C20" s="140" t="s">
        <v>5</v>
      </c>
      <c r="D20" s="141">
        <v>62.976</v>
      </c>
      <c r="E20" s="140">
        <v>219.37394799999998</v>
      </c>
      <c r="F20" s="140">
        <v>13815.92</v>
      </c>
      <c r="G20" s="439">
        <f>F20/RES!$C$15</f>
        <v>0.014489438662933372</v>
      </c>
      <c r="H20" s="439">
        <f t="shared" si="0"/>
        <v>0.6796943793048675</v>
      </c>
      <c r="I20" s="339" t="str">
        <f t="shared" si="1"/>
        <v>A</v>
      </c>
    </row>
    <row r="21" spans="1:9" ht="22.5">
      <c r="A21" s="335" t="s">
        <v>329</v>
      </c>
      <c r="B21" s="139" t="s">
        <v>570</v>
      </c>
      <c r="C21" s="140" t="s">
        <v>313</v>
      </c>
      <c r="D21" s="146">
        <v>117.58</v>
      </c>
      <c r="E21" s="140">
        <v>107.57</v>
      </c>
      <c r="F21" s="140">
        <v>12648.08</v>
      </c>
      <c r="G21" s="439">
        <f>F21/RES!$C$15</f>
        <v>0.013264667091578</v>
      </c>
      <c r="H21" s="439">
        <f t="shared" si="0"/>
        <v>0.6929590463964456</v>
      </c>
      <c r="I21" s="339" t="str">
        <f t="shared" si="1"/>
        <v>A</v>
      </c>
    </row>
    <row r="22" spans="1:9" ht="11.25">
      <c r="A22" s="443" t="s">
        <v>484</v>
      </c>
      <c r="B22" s="139" t="s">
        <v>265</v>
      </c>
      <c r="C22" s="140" t="s">
        <v>150</v>
      </c>
      <c r="D22" s="146">
        <v>20</v>
      </c>
      <c r="E22" s="140">
        <v>599.66</v>
      </c>
      <c r="F22" s="140">
        <v>11993.2</v>
      </c>
      <c r="G22" s="439">
        <f>F22/RES!$C$15</f>
        <v>0.012577862044097861</v>
      </c>
      <c r="H22" s="439">
        <f t="shared" si="0"/>
        <v>0.7055369084405434</v>
      </c>
      <c r="I22" s="339" t="str">
        <f t="shared" si="1"/>
        <v>A</v>
      </c>
    </row>
    <row r="23" spans="1:9" ht="11.25">
      <c r="A23" s="335" t="s">
        <v>479</v>
      </c>
      <c r="B23" s="139" t="s">
        <v>260</v>
      </c>
      <c r="C23" s="140" t="s">
        <v>243</v>
      </c>
      <c r="D23" s="146">
        <v>3</v>
      </c>
      <c r="E23" s="140">
        <v>3913.93</v>
      </c>
      <c r="F23" s="140">
        <v>11741.79</v>
      </c>
      <c r="G23" s="439">
        <f>F23/RES!$C$15</f>
        <v>0.01231419594193108</v>
      </c>
      <c r="H23" s="439">
        <f t="shared" si="0"/>
        <v>0.7178511043824745</v>
      </c>
      <c r="I23" s="339" t="str">
        <f t="shared" si="1"/>
        <v>A</v>
      </c>
    </row>
    <row r="24" spans="1:9" ht="11.25">
      <c r="A24" s="335" t="s">
        <v>411</v>
      </c>
      <c r="B24" s="139" t="s">
        <v>296</v>
      </c>
      <c r="C24" s="140" t="s">
        <v>186</v>
      </c>
      <c r="D24" s="146">
        <v>41</v>
      </c>
      <c r="E24" s="140">
        <v>263.880136</v>
      </c>
      <c r="F24" s="140">
        <v>10819.08</v>
      </c>
      <c r="G24" s="439">
        <f>F24/RES!$C$15</f>
        <v>0.011346504326122992</v>
      </c>
      <c r="H24" s="439">
        <f t="shared" si="0"/>
        <v>0.7291976087085974</v>
      </c>
      <c r="I24" s="339" t="str">
        <f t="shared" si="1"/>
        <v>A</v>
      </c>
    </row>
    <row r="25" spans="1:9" ht="11.25">
      <c r="A25" s="335" t="s">
        <v>469</v>
      </c>
      <c r="B25" s="139" t="s">
        <v>270</v>
      </c>
      <c r="C25" s="140" t="s">
        <v>313</v>
      </c>
      <c r="D25" s="146">
        <v>15</v>
      </c>
      <c r="E25" s="140">
        <v>720.1</v>
      </c>
      <c r="F25" s="140">
        <v>10801.5</v>
      </c>
      <c r="G25" s="439">
        <f>F25/RES!$C$15</f>
        <v>0.011328067310586252</v>
      </c>
      <c r="H25" s="439">
        <f t="shared" si="0"/>
        <v>0.7405256760191836</v>
      </c>
      <c r="I25" s="339" t="str">
        <f t="shared" si="1"/>
        <v>A</v>
      </c>
    </row>
    <row r="26" spans="1:9" ht="22.5">
      <c r="A26" s="335" t="s">
        <v>477</v>
      </c>
      <c r="B26" s="139" t="s">
        <v>258</v>
      </c>
      <c r="C26" s="140" t="s">
        <v>308</v>
      </c>
      <c r="D26" s="146">
        <v>25</v>
      </c>
      <c r="E26" s="140">
        <v>429.91</v>
      </c>
      <c r="F26" s="140">
        <v>10747.75</v>
      </c>
      <c r="G26" s="439">
        <f>F26/RES!$C$15</f>
        <v>0.011271697027019708</v>
      </c>
      <c r="H26" s="439">
        <f t="shared" si="0"/>
        <v>0.7517973730462033</v>
      </c>
      <c r="I26" s="339" t="str">
        <f t="shared" si="1"/>
        <v>A</v>
      </c>
    </row>
    <row r="27" spans="1:9" ht="11.25">
      <c r="A27" s="335" t="s">
        <v>546</v>
      </c>
      <c r="B27" s="445" t="s">
        <v>528</v>
      </c>
      <c r="C27" s="446" t="s">
        <v>186</v>
      </c>
      <c r="D27" s="444">
        <v>525</v>
      </c>
      <c r="E27" s="140">
        <v>18.62132</v>
      </c>
      <c r="F27" s="140">
        <v>9775.5</v>
      </c>
      <c r="G27" s="439">
        <f>F27/RES!$C$15</f>
        <v>0.01025205036287885</v>
      </c>
      <c r="H27" s="439">
        <f t="shared" si="0"/>
        <v>0.7620494234090822</v>
      </c>
      <c r="I27" s="339" t="str">
        <f t="shared" si="1"/>
        <v>A</v>
      </c>
    </row>
    <row r="28" spans="1:9" ht="11.25">
      <c r="A28" s="335" t="s">
        <v>466</v>
      </c>
      <c r="B28" s="139" t="s">
        <v>267</v>
      </c>
      <c r="C28" s="140" t="s">
        <v>243</v>
      </c>
      <c r="D28" s="146">
        <v>60</v>
      </c>
      <c r="E28" s="140">
        <v>152.47</v>
      </c>
      <c r="F28" s="140">
        <v>9148.2</v>
      </c>
      <c r="G28" s="439">
        <f>F28/RES!$C$15</f>
        <v>0.009594169825552484</v>
      </c>
      <c r="H28" s="439">
        <f t="shared" si="0"/>
        <v>0.7716435932346347</v>
      </c>
      <c r="I28" s="339" t="str">
        <f t="shared" si="1"/>
        <v>A</v>
      </c>
    </row>
    <row r="29" spans="1:9" ht="11.25">
      <c r="A29" s="440" t="s">
        <v>207</v>
      </c>
      <c r="B29" s="139" t="s">
        <v>291</v>
      </c>
      <c r="C29" s="140" t="s">
        <v>89</v>
      </c>
      <c r="D29" s="140">
        <v>7</v>
      </c>
      <c r="E29" s="140">
        <v>1295.4766000000002</v>
      </c>
      <c r="F29" s="140">
        <v>9068.36</v>
      </c>
      <c r="G29" s="439">
        <f>F29/RES!$C$15</f>
        <v>0.009510437668530106</v>
      </c>
      <c r="H29" s="439">
        <f t="shared" si="0"/>
        <v>0.7811540309031648</v>
      </c>
      <c r="I29" s="339" t="str">
        <f t="shared" si="1"/>
        <v>A</v>
      </c>
    </row>
    <row r="30" spans="1:9" ht="22.5">
      <c r="A30" s="335" t="s">
        <v>206</v>
      </c>
      <c r="B30" s="139" t="s">
        <v>244</v>
      </c>
      <c r="C30" s="140" t="s">
        <v>308</v>
      </c>
      <c r="D30" s="146">
        <v>110</v>
      </c>
      <c r="E30" s="140">
        <v>78.36</v>
      </c>
      <c r="F30" s="140">
        <v>8619.6</v>
      </c>
      <c r="G30" s="439">
        <f>F30/RES!$C$15</f>
        <v>0.009039800860096214</v>
      </c>
      <c r="H30" s="439">
        <f t="shared" si="0"/>
        <v>0.7901938317632611</v>
      </c>
      <c r="I30" s="339" t="str">
        <f t="shared" si="1"/>
        <v>A</v>
      </c>
    </row>
    <row r="31" spans="1:9" ht="11.25">
      <c r="A31" s="335" t="s">
        <v>427</v>
      </c>
      <c r="B31" s="139" t="s">
        <v>341</v>
      </c>
      <c r="C31" s="140" t="s">
        <v>5</v>
      </c>
      <c r="D31" s="146">
        <v>19.86535013915519</v>
      </c>
      <c r="E31" s="140">
        <v>432.3271533012048</v>
      </c>
      <c r="F31" s="140">
        <v>8590.4</v>
      </c>
      <c r="G31" s="439">
        <f>F31/RES!$C$15</f>
        <v>0.009009177375814482</v>
      </c>
      <c r="H31" s="439">
        <f t="shared" si="0"/>
        <v>0.7992030091390756</v>
      </c>
      <c r="I31" s="339" t="str">
        <f t="shared" si="1"/>
        <v>A</v>
      </c>
    </row>
    <row r="32" spans="1:9" ht="22.5">
      <c r="A32" s="335" t="s">
        <v>328</v>
      </c>
      <c r="B32" s="139" t="s">
        <v>501</v>
      </c>
      <c r="C32" s="140" t="s">
        <v>569</v>
      </c>
      <c r="D32" s="146">
        <v>131.55</v>
      </c>
      <c r="E32" s="140">
        <v>59.070280000000004</v>
      </c>
      <c r="F32" s="140">
        <v>7770.66</v>
      </c>
      <c r="G32" s="439">
        <f>F32/RES!$C$15</f>
        <v>0.008149475492077967</v>
      </c>
      <c r="H32" s="439">
        <f t="shared" si="0"/>
        <v>0.8073524846311536</v>
      </c>
      <c r="I32" s="339" t="str">
        <f t="shared" si="1"/>
        <v>B</v>
      </c>
    </row>
    <row r="33" spans="1:9" ht="22.5">
      <c r="A33" s="335" t="s">
        <v>359</v>
      </c>
      <c r="B33" s="139" t="s">
        <v>562</v>
      </c>
      <c r="C33" s="140" t="s">
        <v>563</v>
      </c>
      <c r="D33" s="141">
        <v>95.28</v>
      </c>
      <c r="E33" s="140">
        <v>77.605276</v>
      </c>
      <c r="F33" s="140">
        <v>7394.68</v>
      </c>
      <c r="G33" s="439">
        <f>F33/RES!$C$15</f>
        <v>0.007755166669466828</v>
      </c>
      <c r="H33" s="439">
        <f t="shared" si="0"/>
        <v>0.8151076513006205</v>
      </c>
      <c r="I33" s="339" t="str">
        <f t="shared" si="1"/>
        <v>B</v>
      </c>
    </row>
    <row r="34" spans="1:9" ht="11.25">
      <c r="A34" s="335" t="s">
        <v>481</v>
      </c>
      <c r="B34" s="139" t="s">
        <v>262</v>
      </c>
      <c r="C34" s="140" t="s">
        <v>150</v>
      </c>
      <c r="D34" s="146">
        <v>20</v>
      </c>
      <c r="E34" s="140">
        <v>369.02</v>
      </c>
      <c r="F34" s="140">
        <v>7380.4</v>
      </c>
      <c r="G34" s="439">
        <f>F34/RES!$C$15</f>
        <v>0.007740190527153707</v>
      </c>
      <c r="H34" s="439">
        <f t="shared" si="0"/>
        <v>0.8228478418277742</v>
      </c>
      <c r="I34" s="339" t="str">
        <f t="shared" si="1"/>
        <v>B</v>
      </c>
    </row>
    <row r="35" spans="1:9" ht="22.5">
      <c r="A35" s="335" t="s">
        <v>545</v>
      </c>
      <c r="B35" s="139" t="s">
        <v>526</v>
      </c>
      <c r="C35" s="140" t="s">
        <v>186</v>
      </c>
      <c r="D35" s="146">
        <v>200</v>
      </c>
      <c r="E35" s="140">
        <v>36.16975600000001</v>
      </c>
      <c r="F35" s="140">
        <v>7234</v>
      </c>
      <c r="G35" s="439">
        <f>F35/RES!$C$15</f>
        <v>0.007586653605960371</v>
      </c>
      <c r="H35" s="439">
        <f t="shared" si="0"/>
        <v>0.8304344954337345</v>
      </c>
      <c r="I35" s="339" t="str">
        <f t="shared" si="1"/>
        <v>B</v>
      </c>
    </row>
    <row r="36" spans="1:9" ht="11.25">
      <c r="A36" s="335" t="s">
        <v>547</v>
      </c>
      <c r="B36" s="139" t="s">
        <v>529</v>
      </c>
      <c r="C36" s="140" t="s">
        <v>186</v>
      </c>
      <c r="D36" s="146">
        <v>27</v>
      </c>
      <c r="E36" s="140">
        <v>242.0155</v>
      </c>
      <c r="F36" s="140">
        <v>6534.54</v>
      </c>
      <c r="G36" s="439">
        <f>F36/RES!$C$15</f>
        <v>0.006853095307477506</v>
      </c>
      <c r="H36" s="439">
        <f t="shared" si="0"/>
        <v>0.837287590741212</v>
      </c>
      <c r="I36" s="339" t="str">
        <f t="shared" si="1"/>
        <v>B</v>
      </c>
    </row>
    <row r="37" spans="1:9" ht="11.25">
      <c r="A37" s="335" t="s">
        <v>406</v>
      </c>
      <c r="B37" s="139" t="s">
        <v>312</v>
      </c>
      <c r="C37" s="140" t="s">
        <v>308</v>
      </c>
      <c r="D37" s="146">
        <v>50</v>
      </c>
      <c r="E37" s="140">
        <v>124.5</v>
      </c>
      <c r="F37" s="140">
        <v>6225</v>
      </c>
      <c r="G37" s="439">
        <f>F37/RES!$C$15</f>
        <v>0.006528465399101922</v>
      </c>
      <c r="H37" s="439">
        <f t="shared" si="0"/>
        <v>0.8438160561403139</v>
      </c>
      <c r="I37" s="339" t="str">
        <f t="shared" si="1"/>
        <v>B</v>
      </c>
    </row>
    <row r="38" spans="1:9" ht="11.25">
      <c r="A38" s="335" t="s">
        <v>358</v>
      </c>
      <c r="B38" s="139" t="s">
        <v>561</v>
      </c>
      <c r="C38" s="140" t="s">
        <v>4</v>
      </c>
      <c r="D38" s="146">
        <v>10</v>
      </c>
      <c r="E38" s="140">
        <v>616.464348</v>
      </c>
      <c r="F38" s="140">
        <v>6164.6</v>
      </c>
      <c r="G38" s="439">
        <f>F38/RES!$C$15</f>
        <v>0.006465120931615055</v>
      </c>
      <c r="H38" s="439">
        <f t="shared" si="0"/>
        <v>0.850281177071929</v>
      </c>
      <c r="I38" s="339" t="str">
        <f t="shared" si="1"/>
        <v>B</v>
      </c>
    </row>
    <row r="39" spans="1:9" ht="11.25">
      <c r="A39" s="335" t="s">
        <v>471</v>
      </c>
      <c r="B39" s="139" t="s">
        <v>251</v>
      </c>
      <c r="C39" s="140" t="s">
        <v>313</v>
      </c>
      <c r="D39" s="444">
        <v>18</v>
      </c>
      <c r="E39" s="140">
        <v>332.18000000000006</v>
      </c>
      <c r="F39" s="140">
        <v>5979.24</v>
      </c>
      <c r="G39" s="439">
        <f>F39/RES!$C$15</f>
        <v>0.006270724731393763</v>
      </c>
      <c r="H39" s="439">
        <f t="shared" si="0"/>
        <v>0.8565519018033227</v>
      </c>
      <c r="I39" s="339" t="str">
        <f t="shared" si="1"/>
        <v>B</v>
      </c>
    </row>
    <row r="40" spans="1:9" ht="11.25">
      <c r="A40" s="335" t="s">
        <v>333</v>
      </c>
      <c r="B40" s="139" t="s">
        <v>525</v>
      </c>
      <c r="C40" s="140" t="s">
        <v>148</v>
      </c>
      <c r="D40" s="146">
        <v>20</v>
      </c>
      <c r="E40" s="140">
        <v>272.820836</v>
      </c>
      <c r="F40" s="140">
        <v>5456.4</v>
      </c>
      <c r="G40" s="439">
        <f>F40/RES!$C$15</f>
        <v>0.005722396562836904</v>
      </c>
      <c r="H40" s="439">
        <f t="shared" si="0"/>
        <v>0.8622742983661597</v>
      </c>
      <c r="I40" s="339" t="str">
        <f t="shared" si="1"/>
        <v>B</v>
      </c>
    </row>
    <row r="41" spans="1:9" ht="11.25">
      <c r="A41" s="335" t="s">
        <v>381</v>
      </c>
      <c r="B41" s="139" t="s">
        <v>309</v>
      </c>
      <c r="C41" s="140" t="s">
        <v>308</v>
      </c>
      <c r="D41" s="146">
        <v>50</v>
      </c>
      <c r="E41" s="140">
        <v>103.08000000000001</v>
      </c>
      <c r="F41" s="140">
        <v>5154</v>
      </c>
      <c r="G41" s="439">
        <f>F41/RES!$C$15</f>
        <v>0.005405254725617881</v>
      </c>
      <c r="H41" s="439">
        <f t="shared" si="0"/>
        <v>0.8676795530917776</v>
      </c>
      <c r="I41" s="339" t="str">
        <f t="shared" si="1"/>
        <v>B</v>
      </c>
    </row>
    <row r="42" spans="1:9" ht="22.5">
      <c r="A42" s="335" t="s">
        <v>475</v>
      </c>
      <c r="B42" s="139" t="s">
        <v>256</v>
      </c>
      <c r="C42" s="140" t="s">
        <v>253</v>
      </c>
      <c r="D42" s="146">
        <v>4</v>
      </c>
      <c r="E42" s="140">
        <v>1274.3</v>
      </c>
      <c r="F42" s="140">
        <v>5097.2</v>
      </c>
      <c r="G42" s="439">
        <f>F42/RES!$C$15</f>
        <v>0.005345685756193144</v>
      </c>
      <c r="H42" s="439">
        <f t="shared" si="0"/>
        <v>0.8730252388479707</v>
      </c>
      <c r="I42" s="339" t="str">
        <f t="shared" si="1"/>
        <v>B</v>
      </c>
    </row>
    <row r="43" spans="1:9" ht="11.25">
      <c r="A43" s="335" t="s">
        <v>205</v>
      </c>
      <c r="B43" s="139" t="s">
        <v>209</v>
      </c>
      <c r="C43" s="140" t="s">
        <v>308</v>
      </c>
      <c r="D43" s="146">
        <v>171</v>
      </c>
      <c r="E43" s="140">
        <v>29.78</v>
      </c>
      <c r="F43" s="140">
        <v>5092.38</v>
      </c>
      <c r="G43" s="439">
        <f>F43/RES!$C$15</f>
        <v>0.005340630783787735</v>
      </c>
      <c r="H43" s="439">
        <f t="shared" si="0"/>
        <v>0.8783658696317584</v>
      </c>
      <c r="I43" s="339" t="str">
        <f t="shared" si="1"/>
        <v>B</v>
      </c>
    </row>
    <row r="44" spans="1:9" ht="11.25">
      <c r="A44" s="335" t="s">
        <v>426</v>
      </c>
      <c r="B44" s="139" t="s">
        <v>152</v>
      </c>
      <c r="C44" s="140" t="s">
        <v>5</v>
      </c>
      <c r="D44" s="141">
        <v>1.1486236499999993</v>
      </c>
      <c r="E44" s="140">
        <v>4400.732675573076</v>
      </c>
      <c r="F44" s="140">
        <v>5060.84</v>
      </c>
      <c r="G44" s="439">
        <f>F44/RES!$C$15</f>
        <v>0.0053075532257656185</v>
      </c>
      <c r="H44" s="439">
        <f t="shared" si="0"/>
        <v>0.883673422857524</v>
      </c>
      <c r="I44" s="339" t="str">
        <f t="shared" si="1"/>
        <v>B</v>
      </c>
    </row>
    <row r="45" spans="1:9" ht="11.25">
      <c r="A45" s="335" t="s">
        <v>431</v>
      </c>
      <c r="B45" s="139" t="s">
        <v>249</v>
      </c>
      <c r="C45" s="140" t="s">
        <v>146</v>
      </c>
      <c r="D45" s="146">
        <v>118.26</v>
      </c>
      <c r="E45" s="140">
        <v>42.767376</v>
      </c>
      <c r="F45" s="140">
        <v>5057.98</v>
      </c>
      <c r="G45" s="439">
        <f>F45/RES!$C$15</f>
        <v>0.005304553802305147</v>
      </c>
      <c r="H45" s="439">
        <f t="shared" si="0"/>
        <v>0.8889779766598291</v>
      </c>
      <c r="I45" s="339" t="str">
        <f t="shared" si="1"/>
        <v>B</v>
      </c>
    </row>
    <row r="46" spans="1:9" ht="11.25">
      <c r="A46" s="335" t="s">
        <v>442</v>
      </c>
      <c r="B46" s="344" t="s">
        <v>509</v>
      </c>
      <c r="C46" s="341" t="s">
        <v>313</v>
      </c>
      <c r="D46" s="447">
        <v>42.5</v>
      </c>
      <c r="E46" s="341">
        <v>118.89</v>
      </c>
      <c r="F46" s="341">
        <v>5052.83</v>
      </c>
      <c r="G46" s="439">
        <f>F46/RES!$C$15</f>
        <v>0.005299152742577376</v>
      </c>
      <c r="H46" s="439">
        <f t="shared" si="0"/>
        <v>0.8942771294024066</v>
      </c>
      <c r="I46" s="339" t="str">
        <f t="shared" si="1"/>
        <v>B</v>
      </c>
    </row>
    <row r="47" spans="1:9" ht="22.5">
      <c r="A47" s="335" t="s">
        <v>456</v>
      </c>
      <c r="B47" s="445" t="s">
        <v>514</v>
      </c>
      <c r="C47" s="446" t="s">
        <v>186</v>
      </c>
      <c r="D47" s="444">
        <v>18</v>
      </c>
      <c r="E47" s="140">
        <v>275.570872</v>
      </c>
      <c r="F47" s="140">
        <v>4960.26</v>
      </c>
      <c r="G47" s="439">
        <f>F47/RES!$C$15</f>
        <v>0.0052020700049075184</v>
      </c>
      <c r="H47" s="439">
        <f t="shared" si="0"/>
        <v>0.899479199407314</v>
      </c>
      <c r="I47" s="339" t="str">
        <f t="shared" si="1"/>
        <v>B</v>
      </c>
    </row>
    <row r="48" spans="1:9" ht="22.5">
      <c r="A48" s="440" t="s">
        <v>474</v>
      </c>
      <c r="B48" s="139" t="s">
        <v>255</v>
      </c>
      <c r="C48" s="140" t="s">
        <v>253</v>
      </c>
      <c r="D48" s="140">
        <v>4</v>
      </c>
      <c r="E48" s="140">
        <v>1233.2</v>
      </c>
      <c r="F48" s="140">
        <v>4932.8</v>
      </c>
      <c r="G48" s="439">
        <f>F48/RES!$C$15</f>
        <v>0.005173271344689151</v>
      </c>
      <c r="H48" s="439">
        <f t="shared" si="0"/>
        <v>0.9046524707520032</v>
      </c>
      <c r="I48" s="339" t="str">
        <f t="shared" si="1"/>
        <v>B</v>
      </c>
    </row>
    <row r="49" spans="1:9" ht="11.25">
      <c r="A49" s="335" t="s">
        <v>461</v>
      </c>
      <c r="B49" s="448" t="s">
        <v>576</v>
      </c>
      <c r="C49" s="449" t="s">
        <v>573</v>
      </c>
      <c r="D49" s="450">
        <v>12</v>
      </c>
      <c r="E49" s="449">
        <v>409.0771040000001</v>
      </c>
      <c r="F49" s="449">
        <v>4908.96</v>
      </c>
      <c r="G49" s="439">
        <f>F49/RES!$C$15</f>
        <v>0.0051482691575221486</v>
      </c>
      <c r="H49" s="439">
        <f t="shared" si="0"/>
        <v>0.9098007399095254</v>
      </c>
      <c r="I49" s="339" t="str">
        <f t="shared" si="1"/>
        <v>B</v>
      </c>
    </row>
    <row r="50" spans="1:9" ht="22.5">
      <c r="A50" s="335" t="s">
        <v>472</v>
      </c>
      <c r="B50" s="448" t="s">
        <v>252</v>
      </c>
      <c r="C50" s="449" t="s">
        <v>253</v>
      </c>
      <c r="D50" s="345">
        <v>4</v>
      </c>
      <c r="E50" s="449">
        <v>1206.47</v>
      </c>
      <c r="F50" s="449">
        <v>4825.88</v>
      </c>
      <c r="G50" s="439">
        <f>F50/RES!$C$15</f>
        <v>0.005061139052243853</v>
      </c>
      <c r="H50" s="439">
        <f t="shared" si="0"/>
        <v>0.9148618789617692</v>
      </c>
      <c r="I50" s="339" t="str">
        <f t="shared" si="1"/>
        <v>B</v>
      </c>
    </row>
    <row r="51" spans="1:9" ht="11.25">
      <c r="A51" s="335" t="s">
        <v>415</v>
      </c>
      <c r="B51" s="139" t="s">
        <v>398</v>
      </c>
      <c r="C51" s="140" t="s">
        <v>313</v>
      </c>
      <c r="D51" s="447">
        <v>600.33</v>
      </c>
      <c r="E51" s="140">
        <v>7.69</v>
      </c>
      <c r="F51" s="140">
        <v>4616.54</v>
      </c>
      <c r="G51" s="439">
        <f>F51/RES!$C$15</f>
        <v>0.004841593839930922</v>
      </c>
      <c r="H51" s="439">
        <f t="shared" si="0"/>
        <v>0.9197034728017001</v>
      </c>
      <c r="I51" s="339" t="str">
        <f t="shared" si="1"/>
        <v>B</v>
      </c>
    </row>
    <row r="52" spans="1:9" ht="11.25">
      <c r="A52" s="451" t="s">
        <v>485</v>
      </c>
      <c r="B52" s="139" t="s">
        <v>266</v>
      </c>
      <c r="C52" s="140" t="s">
        <v>243</v>
      </c>
      <c r="D52" s="140">
        <v>4</v>
      </c>
      <c r="E52" s="140">
        <v>1152.33</v>
      </c>
      <c r="F52" s="140">
        <v>4609.32</v>
      </c>
      <c r="G52" s="439">
        <f>F52/RES!$C$15</f>
        <v>0.004834021868817425</v>
      </c>
      <c r="H52" s="439">
        <f t="shared" si="0"/>
        <v>0.9245374946705175</v>
      </c>
      <c r="I52" s="339" t="str">
        <f t="shared" si="1"/>
        <v>B</v>
      </c>
    </row>
    <row r="53" spans="1:9" ht="22.5">
      <c r="A53" s="451" t="s">
        <v>331</v>
      </c>
      <c r="B53" s="139" t="s">
        <v>521</v>
      </c>
      <c r="C53" s="140" t="s">
        <v>148</v>
      </c>
      <c r="D53" s="140">
        <v>1</v>
      </c>
      <c r="E53" s="140">
        <v>4457.487724</v>
      </c>
      <c r="F53" s="140">
        <v>4457.49</v>
      </c>
      <c r="G53" s="439">
        <f>F53/RES!$C$15</f>
        <v>0.00467479023804704</v>
      </c>
      <c r="H53" s="439">
        <f t="shared" si="0"/>
        <v>0.9292122849085646</v>
      </c>
      <c r="I53" s="339" t="str">
        <f t="shared" si="1"/>
        <v>B</v>
      </c>
    </row>
    <row r="54" spans="1:9" ht="11.25">
      <c r="A54" s="451" t="s">
        <v>549</v>
      </c>
      <c r="B54" s="139" t="s">
        <v>534</v>
      </c>
      <c r="C54" s="140" t="s">
        <v>148</v>
      </c>
      <c r="D54" s="140">
        <v>7</v>
      </c>
      <c r="E54" s="140">
        <v>610.483328</v>
      </c>
      <c r="F54" s="140">
        <v>4273.36</v>
      </c>
      <c r="G54" s="439">
        <f>F54/RES!$C$15</f>
        <v>0.004481683999663645</v>
      </c>
      <c r="H54" s="439">
        <f t="shared" si="0"/>
        <v>0.9336939689082282</v>
      </c>
      <c r="I54" s="339" t="str">
        <f t="shared" si="1"/>
        <v>B</v>
      </c>
    </row>
    <row r="55" spans="1:9" ht="11.25">
      <c r="A55" s="451" t="s">
        <v>421</v>
      </c>
      <c r="B55" s="139" t="s">
        <v>151</v>
      </c>
      <c r="C55" s="140" t="s">
        <v>146</v>
      </c>
      <c r="D55" s="140">
        <v>2552.4969999999985</v>
      </c>
      <c r="E55" s="140">
        <v>1.492172</v>
      </c>
      <c r="F55" s="140">
        <v>3803.23</v>
      </c>
      <c r="G55" s="439">
        <f>F55/RES!$C$15</f>
        <v>0.003988635415233158</v>
      </c>
      <c r="H55" s="439">
        <f t="shared" si="0"/>
        <v>0.9376826043234614</v>
      </c>
      <c r="I55" s="339" t="str">
        <f t="shared" si="1"/>
        <v>B</v>
      </c>
    </row>
    <row r="56" spans="1:9" ht="11.25">
      <c r="A56" s="451" t="s">
        <v>482</v>
      </c>
      <c r="B56" s="139" t="s">
        <v>263</v>
      </c>
      <c r="C56" s="140" t="s">
        <v>150</v>
      </c>
      <c r="D56" s="140">
        <v>12</v>
      </c>
      <c r="E56" s="140">
        <v>310.47</v>
      </c>
      <c r="F56" s="140">
        <v>3725.64</v>
      </c>
      <c r="G56" s="439">
        <f>F56/RES!$C$15</f>
        <v>0.003907262944499612</v>
      </c>
      <c r="H56" s="439">
        <f t="shared" si="0"/>
        <v>0.941589867267961</v>
      </c>
      <c r="I56" s="339" t="str">
        <f t="shared" si="1"/>
        <v>B</v>
      </c>
    </row>
    <row r="57" spans="1:9" ht="11.25">
      <c r="A57" s="451" t="s">
        <v>483</v>
      </c>
      <c r="B57" s="139" t="s">
        <v>264</v>
      </c>
      <c r="C57" s="140" t="s">
        <v>150</v>
      </c>
      <c r="D57" s="140">
        <v>12</v>
      </c>
      <c r="E57" s="140">
        <v>301.01</v>
      </c>
      <c r="F57" s="140">
        <v>3612.12</v>
      </c>
      <c r="G57" s="439">
        <f>F57/RES!$C$15</f>
        <v>0.003788208905607074</v>
      </c>
      <c r="H57" s="439">
        <f t="shared" si="0"/>
        <v>0.9453780761735681</v>
      </c>
      <c r="I57" s="339" t="str">
        <f t="shared" si="1"/>
        <v>B</v>
      </c>
    </row>
    <row r="58" spans="1:9" ht="11.25">
      <c r="A58" s="451" t="s">
        <v>473</v>
      </c>
      <c r="B58" s="139" t="s">
        <v>254</v>
      </c>
      <c r="C58" s="140" t="s">
        <v>253</v>
      </c>
      <c r="D58" s="140">
        <v>4</v>
      </c>
      <c r="E58" s="140">
        <v>875.57</v>
      </c>
      <c r="F58" s="140">
        <v>3502.28</v>
      </c>
      <c r="G58" s="439">
        <f>F58/RES!$C$15</f>
        <v>0.0036730142647336036</v>
      </c>
      <c r="H58" s="439">
        <f t="shared" si="0"/>
        <v>0.9490510904383017</v>
      </c>
      <c r="I58" s="339" t="str">
        <f t="shared" si="1"/>
        <v>B</v>
      </c>
    </row>
    <row r="59" spans="1:9" ht="22.5">
      <c r="A59" s="451" t="s">
        <v>380</v>
      </c>
      <c r="B59" s="139" t="s">
        <v>147</v>
      </c>
      <c r="C59" s="140" t="s">
        <v>89</v>
      </c>
      <c r="D59" s="140">
        <v>17</v>
      </c>
      <c r="E59" s="140">
        <v>189.493512</v>
      </c>
      <c r="F59" s="140">
        <v>3221.33</v>
      </c>
      <c r="G59" s="439">
        <f>F59/RES!$C$15</f>
        <v>0.0033783681034681118</v>
      </c>
      <c r="H59" s="439">
        <f t="shared" si="0"/>
        <v>0.9524294585417699</v>
      </c>
      <c r="I59" s="339" t="str">
        <f t="shared" si="1"/>
        <v>C</v>
      </c>
    </row>
    <row r="60" spans="1:9" ht="11.25">
      <c r="A60" s="451" t="s">
        <v>363</v>
      </c>
      <c r="B60" s="139" t="s">
        <v>565</v>
      </c>
      <c r="C60" s="140" t="s">
        <v>246</v>
      </c>
      <c r="D60" s="140">
        <v>2769.3725062499975</v>
      </c>
      <c r="E60" s="140">
        <v>0.9865600000000001</v>
      </c>
      <c r="F60" s="140">
        <v>2741.68</v>
      </c>
      <c r="G60" s="439">
        <f>F60/RES!$C$15</f>
        <v>0.0028753354241622103</v>
      </c>
      <c r="H60" s="439">
        <f t="shared" si="0"/>
        <v>0.955304793965932</v>
      </c>
      <c r="I60" s="339" t="str">
        <f t="shared" si="1"/>
        <v>C</v>
      </c>
    </row>
    <row r="61" spans="1:9" ht="11.25">
      <c r="A61" s="451" t="s">
        <v>548</v>
      </c>
      <c r="B61" s="139" t="s">
        <v>533</v>
      </c>
      <c r="C61" s="140" t="s">
        <v>148</v>
      </c>
      <c r="D61" s="140">
        <v>7</v>
      </c>
      <c r="E61" s="140">
        <v>387.73041200000006</v>
      </c>
      <c r="F61" s="140">
        <v>2714.11</v>
      </c>
      <c r="G61" s="439">
        <f>F61/RES!$C$15</f>
        <v>0.002846421401503055</v>
      </c>
      <c r="H61" s="439">
        <f t="shared" si="0"/>
        <v>0.9581512153674351</v>
      </c>
      <c r="I61" s="339" t="str">
        <f t="shared" si="1"/>
        <v>C</v>
      </c>
    </row>
    <row r="62" spans="1:9" ht="11.25">
      <c r="A62" s="451" t="s">
        <v>550</v>
      </c>
      <c r="B62" s="139" t="s">
        <v>535</v>
      </c>
      <c r="C62" s="140" t="s">
        <v>148</v>
      </c>
      <c r="D62" s="140">
        <v>7</v>
      </c>
      <c r="E62" s="140">
        <v>387.73041200000006</v>
      </c>
      <c r="F62" s="140">
        <v>2714.11</v>
      </c>
      <c r="G62" s="439">
        <f>F62/RES!$C$15</f>
        <v>0.002846421401503055</v>
      </c>
      <c r="H62" s="439">
        <f t="shared" si="0"/>
        <v>0.9609976367689381</v>
      </c>
      <c r="I62" s="339" t="str">
        <f t="shared" si="1"/>
        <v>C</v>
      </c>
    </row>
    <row r="63" spans="1:9" ht="11.25">
      <c r="A63" s="451" t="s">
        <v>191</v>
      </c>
      <c r="B63" s="139" t="s">
        <v>367</v>
      </c>
      <c r="C63" s="140" t="s">
        <v>4</v>
      </c>
      <c r="D63" s="140">
        <v>28.7</v>
      </c>
      <c r="E63" s="140">
        <v>85.843052</v>
      </c>
      <c r="F63" s="140">
        <v>2463.61</v>
      </c>
      <c r="G63" s="439">
        <f>F63/RES!$C$15</f>
        <v>0.002583709661346424</v>
      </c>
      <c r="H63" s="439">
        <f t="shared" si="0"/>
        <v>0.9635813464302846</v>
      </c>
      <c r="I63" s="339" t="str">
        <f t="shared" si="1"/>
        <v>C</v>
      </c>
    </row>
    <row r="64" spans="1:9" ht="22.5">
      <c r="A64" s="451" t="s">
        <v>579</v>
      </c>
      <c r="B64" s="139" t="s">
        <v>562</v>
      </c>
      <c r="C64" s="140" t="s">
        <v>563</v>
      </c>
      <c r="D64" s="140">
        <v>30.016500000000004</v>
      </c>
      <c r="E64" s="140">
        <v>77.605276</v>
      </c>
      <c r="F64" s="140">
        <v>2329.85</v>
      </c>
      <c r="G64" s="439">
        <f>F64/RES!$C$15</f>
        <v>0.002443428933349014</v>
      </c>
      <c r="H64" s="439">
        <f t="shared" si="0"/>
        <v>0.9660247753636336</v>
      </c>
      <c r="I64" s="339" t="str">
        <f t="shared" si="1"/>
        <v>C</v>
      </c>
    </row>
    <row r="65" spans="1:9" ht="11.25">
      <c r="A65" s="451" t="s">
        <v>432</v>
      </c>
      <c r="B65" s="139" t="s">
        <v>568</v>
      </c>
      <c r="C65" s="140" t="s">
        <v>146</v>
      </c>
      <c r="D65" s="140">
        <v>35.5</v>
      </c>
      <c r="E65" s="140">
        <v>57.701428</v>
      </c>
      <c r="F65" s="140">
        <v>2048.35</v>
      </c>
      <c r="G65" s="439">
        <f>F65/RES!$C$15</f>
        <v>0.002148205959879586</v>
      </c>
      <c r="H65" s="439">
        <f t="shared" si="0"/>
        <v>0.9681729813235133</v>
      </c>
      <c r="I65" s="339" t="str">
        <f t="shared" si="1"/>
        <v>C</v>
      </c>
    </row>
    <row r="66" spans="1:9" ht="11.25">
      <c r="A66" s="451" t="s">
        <v>551</v>
      </c>
      <c r="B66" s="139" t="s">
        <v>536</v>
      </c>
      <c r="C66" s="140" t="s">
        <v>148</v>
      </c>
      <c r="D66" s="140">
        <v>4</v>
      </c>
      <c r="E66" s="140">
        <v>476.44682000000006</v>
      </c>
      <c r="F66" s="140">
        <v>1905.8</v>
      </c>
      <c r="G66" s="439">
        <f>F66/RES!$C$15</f>
        <v>0.001998706724113806</v>
      </c>
      <c r="H66" s="439">
        <f t="shared" si="0"/>
        <v>0.9701716880476271</v>
      </c>
      <c r="I66" s="339" t="str">
        <f t="shared" si="1"/>
        <v>C</v>
      </c>
    </row>
    <row r="67" spans="1:9" ht="11.25">
      <c r="A67" s="451" t="s">
        <v>405</v>
      </c>
      <c r="B67" s="139" t="s">
        <v>311</v>
      </c>
      <c r="C67" s="140" t="s">
        <v>308</v>
      </c>
      <c r="D67" s="140">
        <v>50</v>
      </c>
      <c r="E67" s="140">
        <v>37.14</v>
      </c>
      <c r="F67" s="140">
        <v>1857</v>
      </c>
      <c r="G67" s="439">
        <f>F67/RES!$C$15</f>
        <v>0.001947527750382694</v>
      </c>
      <c r="H67" s="439">
        <f t="shared" si="0"/>
        <v>0.9721192157980098</v>
      </c>
      <c r="I67" s="339" t="str">
        <f t="shared" si="1"/>
        <v>C</v>
      </c>
    </row>
    <row r="68" spans="1:9" ht="11.25">
      <c r="A68" s="451" t="s">
        <v>321</v>
      </c>
      <c r="B68" s="139" t="s">
        <v>157</v>
      </c>
      <c r="C68" s="140" t="s">
        <v>146</v>
      </c>
      <c r="D68" s="140">
        <v>2.9899999999999998</v>
      </c>
      <c r="E68" s="140">
        <v>591.1467520000001</v>
      </c>
      <c r="F68" s="140">
        <v>1767.54</v>
      </c>
      <c r="G68" s="439">
        <f>F68/RES!$C$15</f>
        <v>0.001853706623538733</v>
      </c>
      <c r="H68" s="439">
        <f t="shared" si="0"/>
        <v>0.9739729224215485</v>
      </c>
      <c r="I68" s="339" t="str">
        <f t="shared" si="1"/>
        <v>C</v>
      </c>
    </row>
    <row r="69" spans="1:9" ht="11.25">
      <c r="A69" s="451" t="s">
        <v>430</v>
      </c>
      <c r="B69" s="139" t="s">
        <v>158</v>
      </c>
      <c r="C69" s="140" t="s">
        <v>89</v>
      </c>
      <c r="D69" s="140">
        <v>11</v>
      </c>
      <c r="E69" s="140">
        <v>134.307812</v>
      </c>
      <c r="F69" s="140">
        <v>1477.41</v>
      </c>
      <c r="G69" s="439">
        <f>F69/RES!$C$15</f>
        <v>0.0015494329422148067</v>
      </c>
      <c r="H69" s="439">
        <f aca="true" t="shared" si="2" ref="H69:H103">H68+G69</f>
        <v>0.9755223553637633</v>
      </c>
      <c r="I69" s="339" t="str">
        <f aca="true" t="shared" si="3" ref="I69:I103">IF(H69&lt;=80%,"A",IF(H69&lt;=95%,"B","C"))</f>
        <v>C</v>
      </c>
    </row>
    <row r="70" spans="1:9" ht="22.5">
      <c r="A70" s="451" t="s">
        <v>476</v>
      </c>
      <c r="B70" s="139" t="s">
        <v>257</v>
      </c>
      <c r="C70" s="140" t="s">
        <v>308</v>
      </c>
      <c r="D70" s="140">
        <v>25</v>
      </c>
      <c r="E70" s="140">
        <v>58.68</v>
      </c>
      <c r="F70" s="140">
        <v>1467</v>
      </c>
      <c r="G70" s="439">
        <f>F70/RES!$C$15</f>
        <v>0.0015385154603184772</v>
      </c>
      <c r="H70" s="439">
        <f t="shared" si="2"/>
        <v>0.9770608708240818</v>
      </c>
      <c r="I70" s="339" t="str">
        <f t="shared" si="3"/>
        <v>C</v>
      </c>
    </row>
    <row r="71" spans="1:9" ht="11.25">
      <c r="A71" s="451" t="s">
        <v>383</v>
      </c>
      <c r="B71" s="139" t="s">
        <v>310</v>
      </c>
      <c r="C71" s="140" t="s">
        <v>308</v>
      </c>
      <c r="D71" s="140">
        <v>50</v>
      </c>
      <c r="E71" s="140">
        <v>28.25</v>
      </c>
      <c r="F71" s="140">
        <v>1412.5</v>
      </c>
      <c r="G71" s="439">
        <f>F71/RES!$C$15</f>
        <v>0.0014813586146556572</v>
      </c>
      <c r="H71" s="439">
        <f t="shared" si="2"/>
        <v>0.9785422294387375</v>
      </c>
      <c r="I71" s="339" t="str">
        <f t="shared" si="3"/>
        <v>C</v>
      </c>
    </row>
    <row r="72" spans="1:9" ht="11.25">
      <c r="A72" s="451" t="s">
        <v>425</v>
      </c>
      <c r="B72" s="139" t="s">
        <v>386</v>
      </c>
      <c r="C72" s="140" t="s">
        <v>5</v>
      </c>
      <c r="D72" s="140">
        <v>0.2952</v>
      </c>
      <c r="E72" s="140">
        <v>4691.719703721772</v>
      </c>
      <c r="F72" s="140">
        <v>1407.52</v>
      </c>
      <c r="G72" s="439">
        <f>F72/RES!$C$15</f>
        <v>0.0014761358423363755</v>
      </c>
      <c r="H72" s="439">
        <f t="shared" si="2"/>
        <v>0.9800183652810739</v>
      </c>
      <c r="I72" s="339" t="str">
        <f t="shared" si="3"/>
        <v>C</v>
      </c>
    </row>
    <row r="73" spans="1:9" ht="11.25">
      <c r="A73" s="451" t="s">
        <v>452</v>
      </c>
      <c r="B73" s="139" t="s">
        <v>495</v>
      </c>
      <c r="C73" s="140" t="s">
        <v>89</v>
      </c>
      <c r="D73" s="140">
        <v>14</v>
      </c>
      <c r="E73" s="140">
        <v>99.778212</v>
      </c>
      <c r="F73" s="140">
        <v>1396.92</v>
      </c>
      <c r="G73" s="439">
        <f>F73/RES!$C$15</f>
        <v>0.0014650190980423227</v>
      </c>
      <c r="H73" s="439">
        <f t="shared" si="2"/>
        <v>0.9814833843791162</v>
      </c>
      <c r="I73" s="339" t="str">
        <f t="shared" si="3"/>
        <v>C</v>
      </c>
    </row>
    <row r="74" spans="1:9" ht="11.25">
      <c r="A74" s="451" t="s">
        <v>364</v>
      </c>
      <c r="B74" s="139" t="s">
        <v>566</v>
      </c>
      <c r="C74" s="140" t="s">
        <v>246</v>
      </c>
      <c r="D74" s="140">
        <v>1111.5168562499991</v>
      </c>
      <c r="E74" s="140">
        <v>1.208536</v>
      </c>
      <c r="F74" s="140">
        <v>1344.94</v>
      </c>
      <c r="G74" s="439">
        <f>F74/RES!$C$15</f>
        <v>0.0014105051010229945</v>
      </c>
      <c r="H74" s="439">
        <f t="shared" si="2"/>
        <v>0.9828938894801392</v>
      </c>
      <c r="I74" s="339" t="str">
        <f t="shared" si="3"/>
        <v>C</v>
      </c>
    </row>
    <row r="75" spans="1:9" ht="11.25">
      <c r="A75" s="451" t="s">
        <v>467</v>
      </c>
      <c r="B75" s="139" t="s">
        <v>268</v>
      </c>
      <c r="C75" s="140" t="s">
        <v>243</v>
      </c>
      <c r="D75" s="140">
        <v>30</v>
      </c>
      <c r="E75" s="140">
        <v>42.49</v>
      </c>
      <c r="F75" s="140">
        <v>1274.7</v>
      </c>
      <c r="G75" s="439">
        <f>F75/RES!$C$15</f>
        <v>0.0013368409388329673</v>
      </c>
      <c r="H75" s="439">
        <f t="shared" si="2"/>
        <v>0.9842307304189722</v>
      </c>
      <c r="I75" s="339" t="str">
        <f t="shared" si="3"/>
        <v>C</v>
      </c>
    </row>
    <row r="76" spans="1:9" ht="22.5">
      <c r="A76" s="451" t="s">
        <v>362</v>
      </c>
      <c r="B76" s="139" t="s">
        <v>564</v>
      </c>
      <c r="C76" s="140" t="s">
        <v>4</v>
      </c>
      <c r="D76" s="140">
        <v>200.95219999999983</v>
      </c>
      <c r="E76" s="140">
        <v>6.215328</v>
      </c>
      <c r="F76" s="140">
        <v>1249.91</v>
      </c>
      <c r="G76" s="439">
        <f>F76/RES!$C$15</f>
        <v>0.0013108424396773468</v>
      </c>
      <c r="H76" s="439">
        <f t="shared" si="2"/>
        <v>0.9855415728586496</v>
      </c>
      <c r="I76" s="339" t="str">
        <f t="shared" si="3"/>
        <v>C</v>
      </c>
    </row>
    <row r="77" spans="1:9" ht="11.25">
      <c r="A77" s="451" t="s">
        <v>443</v>
      </c>
      <c r="B77" s="139" t="s">
        <v>511</v>
      </c>
      <c r="C77" s="140" t="s">
        <v>308</v>
      </c>
      <c r="D77" s="140">
        <v>16</v>
      </c>
      <c r="E77" s="140">
        <v>76.34</v>
      </c>
      <c r="F77" s="140">
        <v>1221.44</v>
      </c>
      <c r="G77" s="439">
        <f>F77/RES!$C$15</f>
        <v>0.001280984542502659</v>
      </c>
      <c r="H77" s="439">
        <f t="shared" si="2"/>
        <v>0.9868225574011523</v>
      </c>
      <c r="I77" s="339" t="str">
        <f t="shared" si="3"/>
        <v>C</v>
      </c>
    </row>
    <row r="78" spans="1:9" ht="11.25">
      <c r="A78" s="451" t="s">
        <v>433</v>
      </c>
      <c r="B78" s="139" t="s">
        <v>247</v>
      </c>
      <c r="C78" s="140" t="s">
        <v>246</v>
      </c>
      <c r="D78" s="140">
        <v>1031.086627923062</v>
      </c>
      <c r="E78" s="140">
        <v>1.1222120000000002</v>
      </c>
      <c r="F78" s="140">
        <v>1154.82</v>
      </c>
      <c r="G78" s="439">
        <f>F78/RES!$C$15</f>
        <v>0.001211116853363997</v>
      </c>
      <c r="H78" s="439">
        <f t="shared" si="2"/>
        <v>0.9880336742545163</v>
      </c>
      <c r="I78" s="339" t="str">
        <f t="shared" si="3"/>
        <v>C</v>
      </c>
    </row>
    <row r="79" spans="1:9" ht="11.25">
      <c r="A79" s="451" t="s">
        <v>458</v>
      </c>
      <c r="B79" s="139" t="s">
        <v>572</v>
      </c>
      <c r="C79" s="140" t="s">
        <v>573</v>
      </c>
      <c r="D79" s="140">
        <v>20</v>
      </c>
      <c r="E79" s="140">
        <v>52.374004</v>
      </c>
      <c r="F79" s="140">
        <v>1047.4</v>
      </c>
      <c r="G79" s="439">
        <f>F79/RES!$C$15</f>
        <v>0.001098460186187848</v>
      </c>
      <c r="H79" s="439">
        <f t="shared" si="2"/>
        <v>0.9891321344407041</v>
      </c>
      <c r="I79" s="339" t="str">
        <f t="shared" si="3"/>
        <v>C</v>
      </c>
    </row>
    <row r="80" spans="1:9" ht="11.25">
      <c r="A80" s="451" t="s">
        <v>457</v>
      </c>
      <c r="B80" s="139" t="s">
        <v>515</v>
      </c>
      <c r="C80" s="140" t="s">
        <v>146</v>
      </c>
      <c r="D80" s="140">
        <v>65</v>
      </c>
      <c r="E80" s="140">
        <v>14.30512</v>
      </c>
      <c r="F80" s="140">
        <v>930.15</v>
      </c>
      <c r="G80" s="439">
        <f>F80/RES!$C$15</f>
        <v>0.0009754943118031571</v>
      </c>
      <c r="H80" s="439">
        <f t="shared" si="2"/>
        <v>0.9901076287525072</v>
      </c>
      <c r="I80" s="339" t="str">
        <f t="shared" si="3"/>
        <v>C</v>
      </c>
    </row>
    <row r="81" spans="1:9" ht="22.5">
      <c r="A81" s="451" t="s">
        <v>460</v>
      </c>
      <c r="B81" s="139" t="s">
        <v>575</v>
      </c>
      <c r="C81" s="140" t="s">
        <v>573</v>
      </c>
      <c r="D81" s="140">
        <v>6</v>
      </c>
      <c r="E81" s="140">
        <v>151.399964</v>
      </c>
      <c r="F81" s="140">
        <v>908.4</v>
      </c>
      <c r="G81" s="439">
        <f>F81/RES!$C$15</f>
        <v>0.0009526840110111143</v>
      </c>
      <c r="H81" s="439">
        <f t="shared" si="2"/>
        <v>0.9910603127635184</v>
      </c>
      <c r="I81" s="339" t="str">
        <f t="shared" si="3"/>
        <v>C</v>
      </c>
    </row>
    <row r="82" spans="1:9" ht="11.25">
      <c r="A82" s="451" t="s">
        <v>365</v>
      </c>
      <c r="B82" s="139" t="s">
        <v>396</v>
      </c>
      <c r="C82" s="140" t="s">
        <v>4</v>
      </c>
      <c r="D82" s="140">
        <v>200.95219999999983</v>
      </c>
      <c r="E82" s="140">
        <v>4.229876000000001</v>
      </c>
      <c r="F82" s="140">
        <v>850.02</v>
      </c>
      <c r="G82" s="439">
        <f>F82/RES!$C$15</f>
        <v>0.0008914580174368862</v>
      </c>
      <c r="H82" s="439">
        <f t="shared" si="2"/>
        <v>0.9919517707809552</v>
      </c>
      <c r="I82" s="339" t="str">
        <f t="shared" si="3"/>
        <v>C</v>
      </c>
    </row>
    <row r="83" spans="1:9" ht="11.25">
      <c r="A83" s="451" t="s">
        <v>422</v>
      </c>
      <c r="B83" s="139" t="s">
        <v>248</v>
      </c>
      <c r="C83" s="140" t="s">
        <v>146</v>
      </c>
      <c r="D83" s="140">
        <v>2552.4969999999985</v>
      </c>
      <c r="E83" s="140">
        <v>0.33296400000000004</v>
      </c>
      <c r="F83" s="140">
        <v>842.33</v>
      </c>
      <c r="G83" s="439">
        <f>F83/RES!$C$15</f>
        <v>0.0008833931340763892</v>
      </c>
      <c r="H83" s="439">
        <f t="shared" si="2"/>
        <v>0.9928351639150316</v>
      </c>
      <c r="I83" s="339" t="str">
        <f t="shared" si="3"/>
        <v>C</v>
      </c>
    </row>
    <row r="84" spans="1:9" ht="11.25">
      <c r="A84" s="451" t="s">
        <v>417</v>
      </c>
      <c r="B84" s="139" t="s">
        <v>567</v>
      </c>
      <c r="C84" s="140" t="s">
        <v>146</v>
      </c>
      <c r="D84" s="140">
        <v>656</v>
      </c>
      <c r="E84" s="140">
        <v>1.2332</v>
      </c>
      <c r="F84" s="140">
        <v>806.88</v>
      </c>
      <c r="G84" s="439">
        <f>F84/RES!$C$15</f>
        <v>0.0008462149656590136</v>
      </c>
      <c r="H84" s="439">
        <f t="shared" si="2"/>
        <v>0.9936813788806906</v>
      </c>
      <c r="I84" s="339" t="str">
        <f t="shared" si="3"/>
        <v>C</v>
      </c>
    </row>
    <row r="85" spans="1:9" ht="11.25">
      <c r="A85" s="451" t="s">
        <v>552</v>
      </c>
      <c r="B85" s="139" t="s">
        <v>537</v>
      </c>
      <c r="C85" s="140" t="s">
        <v>148</v>
      </c>
      <c r="D85" s="140">
        <v>2</v>
      </c>
      <c r="E85" s="140">
        <v>295.28974</v>
      </c>
      <c r="F85" s="140">
        <v>590.58</v>
      </c>
      <c r="G85" s="439">
        <f>F85/RES!$C$15</f>
        <v>0.0006193704570926287</v>
      </c>
      <c r="H85" s="439">
        <f t="shared" si="2"/>
        <v>0.9943007493377832</v>
      </c>
      <c r="I85" s="339" t="str">
        <f t="shared" si="3"/>
        <v>C</v>
      </c>
    </row>
    <row r="86" spans="1:9" ht="11.25">
      <c r="A86" s="451" t="s">
        <v>409</v>
      </c>
      <c r="B86" s="139" t="s">
        <v>565</v>
      </c>
      <c r="C86" s="140" t="s">
        <v>246</v>
      </c>
      <c r="D86" s="140">
        <v>559.9321875</v>
      </c>
      <c r="E86" s="140">
        <v>0.9865600000000001</v>
      </c>
      <c r="F86" s="140">
        <v>554.33</v>
      </c>
      <c r="G86" s="439">
        <f>F86/RES!$C$15</f>
        <v>0.0005813532891058907</v>
      </c>
      <c r="H86" s="439">
        <f t="shared" si="2"/>
        <v>0.9948821026268891</v>
      </c>
      <c r="I86" s="339" t="str">
        <f t="shared" si="3"/>
        <v>C</v>
      </c>
    </row>
    <row r="87" spans="1:9" ht="11.25">
      <c r="A87" s="451" t="s">
        <v>486</v>
      </c>
      <c r="B87" s="139" t="s">
        <v>250</v>
      </c>
      <c r="C87" s="140" t="s">
        <v>246</v>
      </c>
      <c r="D87" s="140">
        <v>612.8364155533293</v>
      </c>
      <c r="E87" s="140">
        <v>0.86324</v>
      </c>
      <c r="F87" s="140">
        <v>527.04</v>
      </c>
      <c r="G87" s="439">
        <f>F87/RES!$C$15</f>
        <v>0.0005527329162960124</v>
      </c>
      <c r="H87" s="439">
        <f t="shared" si="2"/>
        <v>0.9954348355431851</v>
      </c>
      <c r="I87" s="339" t="str">
        <f t="shared" si="3"/>
        <v>C</v>
      </c>
    </row>
    <row r="88" spans="1:9" ht="11.25">
      <c r="A88" s="451" t="s">
        <v>429</v>
      </c>
      <c r="B88" s="139" t="s">
        <v>153</v>
      </c>
      <c r="C88" s="140" t="s">
        <v>5</v>
      </c>
      <c r="D88" s="140">
        <v>1.1486236499999993</v>
      </c>
      <c r="E88" s="140">
        <v>430.3563514216868</v>
      </c>
      <c r="F88" s="140">
        <v>494.91</v>
      </c>
      <c r="G88" s="439">
        <f>F88/RES!$C$15</f>
        <v>0.0005190365960914912</v>
      </c>
      <c r="H88" s="439">
        <f t="shared" si="2"/>
        <v>0.9959538721392767</v>
      </c>
      <c r="I88" s="339" t="str">
        <f t="shared" si="3"/>
        <v>C</v>
      </c>
    </row>
    <row r="89" spans="1:9" ht="11.25">
      <c r="A89" s="451" t="s">
        <v>459</v>
      </c>
      <c r="B89" s="139" t="s">
        <v>574</v>
      </c>
      <c r="C89" s="140" t="s">
        <v>573</v>
      </c>
      <c r="D89" s="140">
        <v>6</v>
      </c>
      <c r="E89" s="140">
        <v>80.108672</v>
      </c>
      <c r="F89" s="140">
        <v>480.66</v>
      </c>
      <c r="G89" s="439">
        <f>F89/RES!$C$15</f>
        <v>0.0005040919162622217</v>
      </c>
      <c r="H89" s="439">
        <f t="shared" si="2"/>
        <v>0.9964579640555389</v>
      </c>
      <c r="I89" s="339" t="str">
        <f t="shared" si="3"/>
        <v>C</v>
      </c>
    </row>
    <row r="90" spans="1:9" ht="11.25">
      <c r="A90" s="451" t="s">
        <v>189</v>
      </c>
      <c r="B90" s="139" t="s">
        <v>393</v>
      </c>
      <c r="C90" s="140" t="s">
        <v>4</v>
      </c>
      <c r="D90" s="140">
        <v>57.9</v>
      </c>
      <c r="E90" s="140">
        <v>7.633508000000001</v>
      </c>
      <c r="F90" s="140">
        <v>441.78</v>
      </c>
      <c r="G90" s="439">
        <f>F90/RES!$C$15</f>
        <v>0.00046331653719120435</v>
      </c>
      <c r="H90" s="439">
        <f t="shared" si="2"/>
        <v>0.9969212805927301</v>
      </c>
      <c r="I90" s="339" t="str">
        <f t="shared" si="3"/>
        <v>C</v>
      </c>
    </row>
    <row r="91" spans="1:9" ht="11.25">
      <c r="A91" s="451" t="s">
        <v>190</v>
      </c>
      <c r="B91" s="139" t="s">
        <v>394</v>
      </c>
      <c r="C91" s="140" t="s">
        <v>4</v>
      </c>
      <c r="D91" s="140">
        <v>5.17</v>
      </c>
      <c r="E91" s="140">
        <v>76.359744</v>
      </c>
      <c r="F91" s="140">
        <v>394.78</v>
      </c>
      <c r="G91" s="439">
        <f>F91/RES!$C$15</f>
        <v>0.00041402531249115773</v>
      </c>
      <c r="H91" s="439">
        <f t="shared" si="2"/>
        <v>0.9973353059052212</v>
      </c>
      <c r="I91" s="339" t="str">
        <f t="shared" si="3"/>
        <v>C</v>
      </c>
    </row>
    <row r="92" spans="1:9" ht="22.5">
      <c r="A92" s="451" t="s">
        <v>353</v>
      </c>
      <c r="B92" s="139" t="s">
        <v>489</v>
      </c>
      <c r="C92" s="140" t="s">
        <v>146</v>
      </c>
      <c r="D92" s="140">
        <v>656</v>
      </c>
      <c r="E92" s="140">
        <v>0.591936</v>
      </c>
      <c r="F92" s="140">
        <v>387.04</v>
      </c>
      <c r="G92" s="439">
        <f>F92/RES!$C$15</f>
        <v>0.0004059079916575756</v>
      </c>
      <c r="H92" s="439">
        <f t="shared" si="2"/>
        <v>0.9977412138968789</v>
      </c>
      <c r="I92" s="339" t="str">
        <f t="shared" si="3"/>
        <v>C</v>
      </c>
    </row>
    <row r="93" spans="1:9" ht="11.25">
      <c r="A93" s="451" t="s">
        <v>382</v>
      </c>
      <c r="B93" s="139" t="s">
        <v>395</v>
      </c>
      <c r="C93" s="140" t="s">
        <v>4</v>
      </c>
      <c r="D93" s="140">
        <v>17.28</v>
      </c>
      <c r="E93" s="140">
        <v>19.040608</v>
      </c>
      <c r="F93" s="140">
        <v>329.01</v>
      </c>
      <c r="G93" s="439">
        <f>F93/RES!$C$15</f>
        <v>0.00034504906039494355</v>
      </c>
      <c r="H93" s="439">
        <f t="shared" si="2"/>
        <v>0.9980862629572738</v>
      </c>
      <c r="I93" s="339" t="str">
        <f t="shared" si="3"/>
        <v>C</v>
      </c>
    </row>
    <row r="94" spans="1:9" ht="11.25">
      <c r="A94" s="451" t="s">
        <v>419</v>
      </c>
      <c r="B94" s="139" t="s">
        <v>399</v>
      </c>
      <c r="C94" s="140" t="s">
        <v>146</v>
      </c>
      <c r="D94" s="140">
        <v>656</v>
      </c>
      <c r="E94" s="140">
        <v>0.48094800000000004</v>
      </c>
      <c r="F94" s="140">
        <v>314.88</v>
      </c>
      <c r="G94" s="439">
        <f>F94/RES!$C$15</f>
        <v>0.00033023023050107844</v>
      </c>
      <c r="H94" s="439">
        <f t="shared" si="2"/>
        <v>0.9984164931877748</v>
      </c>
      <c r="I94" s="339" t="str">
        <f t="shared" si="3"/>
        <v>C</v>
      </c>
    </row>
    <row r="95" spans="1:9" ht="11.25">
      <c r="A95" s="451" t="s">
        <v>354</v>
      </c>
      <c r="B95" s="139" t="s">
        <v>582</v>
      </c>
      <c r="C95" s="140" t="s">
        <v>148</v>
      </c>
      <c r="D95" s="140">
        <v>2</v>
      </c>
      <c r="E95" s="140">
        <v>153.891028</v>
      </c>
      <c r="F95" s="140">
        <v>307.78</v>
      </c>
      <c r="G95" s="439">
        <f>F95/RES!$C$15</f>
        <v>0.00032278410932298627</v>
      </c>
      <c r="H95" s="439">
        <f t="shared" si="2"/>
        <v>0.9987392772970978</v>
      </c>
      <c r="I95" s="339" t="str">
        <f t="shared" si="3"/>
        <v>C</v>
      </c>
    </row>
    <row r="96" spans="1:9" ht="11.25">
      <c r="A96" s="451" t="s">
        <v>410</v>
      </c>
      <c r="B96" s="139" t="s">
        <v>566</v>
      </c>
      <c r="C96" s="140" t="s">
        <v>246</v>
      </c>
      <c r="D96" s="140">
        <v>224.73468750000004</v>
      </c>
      <c r="E96" s="140">
        <v>1.208536</v>
      </c>
      <c r="F96" s="140">
        <v>271.92</v>
      </c>
      <c r="G96" s="439">
        <f>F96/RES!$C$15</f>
        <v>0.00028517595362631244</v>
      </c>
      <c r="H96" s="439">
        <f t="shared" si="2"/>
        <v>0.9990244532507241</v>
      </c>
      <c r="I96" s="339" t="str">
        <f t="shared" si="3"/>
        <v>C</v>
      </c>
    </row>
    <row r="97" spans="1:9" ht="22.5">
      <c r="A97" s="451" t="s">
        <v>408</v>
      </c>
      <c r="B97" s="139" t="s">
        <v>397</v>
      </c>
      <c r="C97" s="140" t="s">
        <v>5</v>
      </c>
      <c r="D97" s="140">
        <v>76.18125</v>
      </c>
      <c r="E97" s="140">
        <v>3.341972</v>
      </c>
      <c r="F97" s="140">
        <v>254.44</v>
      </c>
      <c r="G97" s="439">
        <f>F97/RES!$C$15</f>
        <v>0.0002668438130357419</v>
      </c>
      <c r="H97" s="439">
        <f t="shared" si="2"/>
        <v>0.9992912970637599</v>
      </c>
      <c r="I97" s="339" t="str">
        <f t="shared" si="3"/>
        <v>C</v>
      </c>
    </row>
    <row r="98" spans="1:9" ht="11.25">
      <c r="A98" s="451" t="s">
        <v>356</v>
      </c>
      <c r="B98" s="139" t="s">
        <v>493</v>
      </c>
      <c r="C98" s="140" t="s">
        <v>89</v>
      </c>
      <c r="D98" s="140">
        <v>2</v>
      </c>
      <c r="E98" s="140">
        <v>108.718912</v>
      </c>
      <c r="F98" s="140">
        <v>217.44</v>
      </c>
      <c r="G98" s="439">
        <f>F98/RES!$C$15</f>
        <v>0.00022804008295272644</v>
      </c>
      <c r="H98" s="439">
        <f t="shared" si="2"/>
        <v>0.9995193371467126</v>
      </c>
      <c r="I98" s="339" t="str">
        <f t="shared" si="3"/>
        <v>C</v>
      </c>
    </row>
    <row r="99" spans="1:9" ht="11.25">
      <c r="A99" s="451" t="s">
        <v>407</v>
      </c>
      <c r="B99" s="139" t="s">
        <v>396</v>
      </c>
      <c r="C99" s="140" t="s">
        <v>4</v>
      </c>
      <c r="D99" s="140">
        <v>40.63</v>
      </c>
      <c r="E99" s="140">
        <v>4.229876000000001</v>
      </c>
      <c r="F99" s="140">
        <v>171.86</v>
      </c>
      <c r="G99" s="439">
        <f>F99/RES!$C$15</f>
        <v>0.00018023808248829822</v>
      </c>
      <c r="H99" s="439">
        <f t="shared" si="2"/>
        <v>0.9996995752292009</v>
      </c>
      <c r="I99" s="339" t="str">
        <f t="shared" si="3"/>
        <v>C</v>
      </c>
    </row>
    <row r="100" spans="1:9" ht="11.25">
      <c r="A100" s="451" t="s">
        <v>428</v>
      </c>
      <c r="B100" s="139" t="s">
        <v>387</v>
      </c>
      <c r="C100" s="140" t="s">
        <v>5</v>
      </c>
      <c r="D100" s="140">
        <v>0.2952</v>
      </c>
      <c r="E100" s="140">
        <v>430.3563514216868</v>
      </c>
      <c r="F100" s="140">
        <v>129.11</v>
      </c>
      <c r="G100" s="439">
        <f>F100/RES!$C$15</f>
        <v>0.00013540404300048985</v>
      </c>
      <c r="H100" s="439">
        <f t="shared" si="2"/>
        <v>0.9998349792722014</v>
      </c>
      <c r="I100" s="339" t="str">
        <f t="shared" si="3"/>
        <v>C</v>
      </c>
    </row>
    <row r="101" spans="1:9" ht="11.25">
      <c r="A101" s="451" t="s">
        <v>355</v>
      </c>
      <c r="B101" s="139" t="s">
        <v>491</v>
      </c>
      <c r="C101" s="140" t="s">
        <v>89</v>
      </c>
      <c r="D101" s="140">
        <v>2</v>
      </c>
      <c r="E101" s="140">
        <v>43.482632</v>
      </c>
      <c r="F101" s="140">
        <v>86.96</v>
      </c>
      <c r="G101" s="439">
        <f>F101/RES!$C$15</f>
        <v>9.119925318970331E-05</v>
      </c>
      <c r="H101" s="439">
        <f t="shared" si="2"/>
        <v>0.9999261785253911</v>
      </c>
      <c r="I101" s="339" t="str">
        <f t="shared" si="3"/>
        <v>C</v>
      </c>
    </row>
    <row r="102" spans="1:9" ht="22.5">
      <c r="A102" s="451" t="s">
        <v>520</v>
      </c>
      <c r="B102" s="139" t="s">
        <v>314</v>
      </c>
      <c r="C102" s="140" t="s">
        <v>246</v>
      </c>
      <c r="D102" s="140">
        <v>20.531652</v>
      </c>
      <c r="E102" s="140">
        <v>2.071776</v>
      </c>
      <c r="F102" s="140">
        <v>42.5</v>
      </c>
      <c r="G102" s="439">
        <f>F102/RES!$C$15</f>
        <v>4.45718521223826E-05</v>
      </c>
      <c r="H102" s="439">
        <f t="shared" si="2"/>
        <v>0.9999707503775135</v>
      </c>
      <c r="I102" s="339" t="str">
        <f t="shared" si="3"/>
        <v>C</v>
      </c>
    </row>
    <row r="103" spans="1:9" ht="12" thickBot="1">
      <c r="A103" s="524" t="s">
        <v>487</v>
      </c>
      <c r="B103" s="452" t="s">
        <v>577</v>
      </c>
      <c r="C103" s="453" t="s">
        <v>246</v>
      </c>
      <c r="D103" s="453">
        <v>26.307230551001414</v>
      </c>
      <c r="E103" s="453">
        <v>1.060552</v>
      </c>
      <c r="F103" s="453">
        <v>27.89</v>
      </c>
      <c r="G103" s="454">
        <f>F103/RES!$C$15</f>
        <v>2.924962248690002E-05</v>
      </c>
      <c r="H103" s="454">
        <f t="shared" si="2"/>
        <v>1.0000000000000004</v>
      </c>
      <c r="I103" s="340" t="str">
        <f t="shared" si="3"/>
        <v>C</v>
      </c>
    </row>
    <row r="112" spans="1:9" ht="16.5" customHeight="1">
      <c r="A112" s="748"/>
      <c r="B112" s="748"/>
      <c r="C112" s="748"/>
      <c r="D112" s="748"/>
      <c r="E112" s="748"/>
      <c r="F112" s="748"/>
      <c r="G112" s="748"/>
      <c r="H112" s="748"/>
      <c r="I112" s="748"/>
    </row>
  </sheetData>
  <sheetProtection/>
  <mergeCells count="2">
    <mergeCell ref="A1:I1"/>
    <mergeCell ref="A112:I112"/>
  </mergeCells>
  <conditionalFormatting sqref="I3:I103">
    <cfRule type="expression" priority="1" dxfId="40">
      <formula>NOT(ISERROR(SEARCH("B",I3)))</formula>
    </cfRule>
  </conditionalFormatting>
  <conditionalFormatting sqref="I3:I103">
    <cfRule type="expression" priority="2" dxfId="41">
      <formula>NOT(ISERROR(SEARCH("A",I3)))</formula>
    </cfRule>
  </conditionalFormatting>
  <conditionalFormatting sqref="I3:I103">
    <cfRule type="expression" priority="4" dxfId="42">
      <formula>NOT(ISERROR(SEARCH("C",I3)))</formula>
    </cfRule>
    <cfRule type="colorScale" priority="3" dxfId="39">
      <colorScale>
        <cfvo type="min" val="0"/>
        <cfvo type="max"/>
        <color rgb="FFFCFCFF"/>
        <color rgb="FF63BE7B"/>
      </colorScale>
    </cfRule>
  </conditionalFormatting>
  <conditionalFormatting sqref="G3:H103">
    <cfRule type="colorScale" priority="5" dxfId="39">
      <colorScale>
        <cfvo type="min" val="0"/>
        <cfvo type="max"/>
        <color rgb="FFFCFCFF"/>
        <color rgb="FF63BE7B"/>
      </colorScale>
    </cfRule>
  </conditionalFormatting>
  <printOptions/>
  <pageMargins left="0.2362204724409449" right="0.2362204724409449" top="0.7480314960629921" bottom="0.7480314960629921" header="0.31496062992125984" footer="0.31496062992125984"/>
  <pageSetup firstPageNumber="108" useFirstPageNumber="1" fitToHeight="0" fitToWidth="1" horizontalDpi="600" verticalDpi="600" orientation="landscape" paperSize="9" scale="90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9"/>
  <sheetViews>
    <sheetView view="pageBreakPreview" zoomScaleSheetLayoutView="100" zoomScalePageLayoutView="0" workbookViewId="0" topLeftCell="A202">
      <selection activeCell="C210" sqref="C210"/>
    </sheetView>
  </sheetViews>
  <sheetFormatPr defaultColWidth="9.140625" defaultRowHeight="15"/>
  <cols>
    <col min="1" max="1" width="6.28125" style="0" bestFit="1" customWidth="1"/>
    <col min="2" max="2" width="7.00390625" style="0" bestFit="1" customWidth="1"/>
    <col min="3" max="3" width="42.140625" style="0" customWidth="1"/>
    <col min="10" max="10" width="14.140625" style="0" bestFit="1" customWidth="1"/>
    <col min="12" max="12" width="12.7109375" style="0" bestFit="1" customWidth="1"/>
  </cols>
  <sheetData>
    <row r="1" spans="1:12" ht="15">
      <c r="A1" s="39" t="s">
        <v>45</v>
      </c>
      <c r="B1" s="67">
        <v>11001</v>
      </c>
      <c r="C1" s="818" t="s">
        <v>582</v>
      </c>
      <c r="D1" s="819"/>
      <c r="E1" s="819"/>
      <c r="F1" s="819"/>
      <c r="G1" s="819"/>
      <c r="H1" s="819"/>
      <c r="I1" s="819"/>
      <c r="J1" s="820"/>
      <c r="K1" t="str">
        <f>H2</f>
        <v>und</v>
      </c>
      <c r="L1" s="416">
        <f>J28</f>
        <v>124.79</v>
      </c>
    </row>
    <row r="2" spans="1:10" ht="18" customHeight="1" thickBot="1">
      <c r="A2" s="839" t="s">
        <v>47</v>
      </c>
      <c r="B2" s="840"/>
      <c r="C2" s="82" t="s">
        <v>581</v>
      </c>
      <c r="D2" s="793" t="s">
        <v>48</v>
      </c>
      <c r="E2" s="794"/>
      <c r="F2" s="40"/>
      <c r="G2" s="621" t="s">
        <v>49</v>
      </c>
      <c r="H2" s="68" t="s">
        <v>148</v>
      </c>
      <c r="I2" s="795" t="s">
        <v>50</v>
      </c>
      <c r="J2" s="796"/>
    </row>
    <row r="3" spans="1:10" ht="15">
      <c r="A3" s="797" t="s">
        <v>51</v>
      </c>
      <c r="B3" s="798" t="s">
        <v>52</v>
      </c>
      <c r="C3" s="798" t="s">
        <v>53</v>
      </c>
      <c r="D3" s="799" t="s">
        <v>54</v>
      </c>
      <c r="E3" s="801" t="s">
        <v>55</v>
      </c>
      <c r="F3" s="802"/>
      <c r="G3" s="803"/>
      <c r="H3" s="801" t="s">
        <v>56</v>
      </c>
      <c r="I3" s="802"/>
      <c r="J3" s="804"/>
    </row>
    <row r="4" spans="1:10" ht="15">
      <c r="A4" s="765"/>
      <c r="B4" s="841"/>
      <c r="C4" s="767"/>
      <c r="D4" s="800"/>
      <c r="E4" s="618" t="s">
        <v>57</v>
      </c>
      <c r="F4" s="618" t="s">
        <v>58</v>
      </c>
      <c r="G4" s="618" t="s">
        <v>59</v>
      </c>
      <c r="H4" s="618" t="s">
        <v>58</v>
      </c>
      <c r="I4" s="618" t="s">
        <v>59</v>
      </c>
      <c r="J4" s="41" t="s">
        <v>60</v>
      </c>
    </row>
    <row r="5" spans="1:10" ht="15">
      <c r="A5" s="629" t="s">
        <v>14</v>
      </c>
      <c r="B5" s="630">
        <v>30085</v>
      </c>
      <c r="C5" s="631" t="s">
        <v>639</v>
      </c>
      <c r="D5" s="632"/>
      <c r="E5" s="633">
        <v>1</v>
      </c>
      <c r="F5" s="633">
        <v>0.2</v>
      </c>
      <c r="G5" s="633">
        <v>0.8</v>
      </c>
      <c r="H5" s="622">
        <v>32.11</v>
      </c>
      <c r="I5" s="622">
        <v>17.72</v>
      </c>
      <c r="J5" s="634">
        <f>ROUND(E5*(F5*H5)+(G5*I5),2)</f>
        <v>20.6</v>
      </c>
    </row>
    <row r="6" spans="1:10" ht="15">
      <c r="A6" s="69" t="s">
        <v>14</v>
      </c>
      <c r="B6" s="635">
        <v>30130</v>
      </c>
      <c r="C6" s="636" t="s">
        <v>640</v>
      </c>
      <c r="D6" s="637"/>
      <c r="E6" s="638">
        <v>1</v>
      </c>
      <c r="F6" s="638">
        <v>0.25</v>
      </c>
      <c r="G6" s="638">
        <v>0.75</v>
      </c>
      <c r="H6" s="376">
        <v>29.23</v>
      </c>
      <c r="I6" s="376">
        <v>27.19</v>
      </c>
      <c r="J6" s="639">
        <f>ROUND(E6*(F6*H6)+(G6*I6),2)</f>
        <v>27.7</v>
      </c>
    </row>
    <row r="7" spans="1:10" ht="15">
      <c r="A7" s="779" t="s">
        <v>61</v>
      </c>
      <c r="B7" s="780"/>
      <c r="C7" s="780"/>
      <c r="D7" s="780"/>
      <c r="E7" s="780"/>
      <c r="F7" s="780"/>
      <c r="G7" s="780"/>
      <c r="H7" s="780"/>
      <c r="I7" s="755"/>
      <c r="J7" s="45">
        <f>SUM(J5:J6)</f>
        <v>48.3</v>
      </c>
    </row>
    <row r="8" spans="1:10" ht="22.5">
      <c r="A8" s="46" t="s">
        <v>51</v>
      </c>
      <c r="B8" s="47" t="s">
        <v>52</v>
      </c>
      <c r="C8" s="619" t="s">
        <v>62</v>
      </c>
      <c r="D8" s="619" t="s">
        <v>63</v>
      </c>
      <c r="E8" s="619" t="s">
        <v>19</v>
      </c>
      <c r="F8" s="270" t="s">
        <v>64</v>
      </c>
      <c r="G8" s="270" t="s">
        <v>65</v>
      </c>
      <c r="H8" s="781" t="s">
        <v>66</v>
      </c>
      <c r="I8" s="782"/>
      <c r="J8" s="48" t="s">
        <v>67</v>
      </c>
    </row>
    <row r="9" spans="1:10" ht="15">
      <c r="A9" s="75" t="s">
        <v>14</v>
      </c>
      <c r="B9" s="76">
        <v>20063</v>
      </c>
      <c r="C9" s="631" t="s">
        <v>641</v>
      </c>
      <c r="D9" s="76" t="s">
        <v>150</v>
      </c>
      <c r="E9" s="622">
        <v>0.5</v>
      </c>
      <c r="F9" s="593">
        <v>12.47</v>
      </c>
      <c r="G9" s="594">
        <v>1.5727000000000002</v>
      </c>
      <c r="H9" s="805">
        <f>F9*(1+G9)</f>
        <v>32.081569</v>
      </c>
      <c r="I9" s="806"/>
      <c r="J9" s="50">
        <f>ROUND(H9*E9,2)</f>
        <v>16.04</v>
      </c>
    </row>
    <row r="10" spans="1:10" ht="15">
      <c r="A10" s="77" t="s">
        <v>14</v>
      </c>
      <c r="B10" s="640">
        <v>20002</v>
      </c>
      <c r="C10" s="636" t="s">
        <v>642</v>
      </c>
      <c r="D10" s="78" t="s">
        <v>150</v>
      </c>
      <c r="E10" s="376">
        <v>4</v>
      </c>
      <c r="F10" s="641">
        <v>5.52</v>
      </c>
      <c r="G10" s="642">
        <v>1.5727000000000002</v>
      </c>
      <c r="H10" s="859">
        <f>F10*(1+G10)</f>
        <v>14.201304</v>
      </c>
      <c r="I10" s="860"/>
      <c r="J10" s="51">
        <f>ROUND(H10*E10,2)</f>
        <v>56.81</v>
      </c>
    </row>
    <row r="11" spans="1:10" ht="15">
      <c r="A11" s="754" t="s">
        <v>68</v>
      </c>
      <c r="B11" s="755"/>
      <c r="C11" s="756"/>
      <c r="D11" s="756"/>
      <c r="E11" s="756"/>
      <c r="F11" s="756"/>
      <c r="G11" s="756"/>
      <c r="H11" s="756"/>
      <c r="I11" s="756"/>
      <c r="J11" s="52">
        <f>SUM(J9:J10)</f>
        <v>72.85</v>
      </c>
    </row>
    <row r="12" spans="1:10" ht="15">
      <c r="A12" s="816" t="s">
        <v>69</v>
      </c>
      <c r="B12" s="817"/>
      <c r="C12" s="817"/>
      <c r="D12" s="817"/>
      <c r="E12" s="817"/>
      <c r="F12" s="817"/>
      <c r="G12" s="817"/>
      <c r="H12" s="817"/>
      <c r="I12" s="79">
        <v>0.05</v>
      </c>
      <c r="J12" s="53">
        <f>ROUND(J11*I12,2)</f>
        <v>3.64</v>
      </c>
    </row>
    <row r="13" spans="1:10" ht="15">
      <c r="A13" s="810" t="s">
        <v>70</v>
      </c>
      <c r="B13" s="811"/>
      <c r="C13" s="812"/>
      <c r="D13" s="812"/>
      <c r="E13" s="812"/>
      <c r="F13" s="812"/>
      <c r="G13" s="812"/>
      <c r="H13" s="812"/>
      <c r="I13" s="812"/>
      <c r="J13" s="80">
        <v>1</v>
      </c>
    </row>
    <row r="14" spans="1:10" ht="15">
      <c r="A14" s="754" t="s">
        <v>71</v>
      </c>
      <c r="B14" s="755"/>
      <c r="C14" s="756"/>
      <c r="D14" s="756"/>
      <c r="E14" s="756"/>
      <c r="F14" s="756"/>
      <c r="G14" s="756"/>
      <c r="H14" s="756"/>
      <c r="I14" s="756"/>
      <c r="J14" s="54">
        <f>ROUND((J7+J11+J12)/J13,2)</f>
        <v>124.79</v>
      </c>
    </row>
    <row r="15" spans="1:10" ht="15">
      <c r="A15" s="46" t="s">
        <v>51</v>
      </c>
      <c r="B15" s="47" t="s">
        <v>52</v>
      </c>
      <c r="C15" s="619" t="s">
        <v>72</v>
      </c>
      <c r="D15" s="619" t="s">
        <v>63</v>
      </c>
      <c r="E15" s="769" t="s">
        <v>73</v>
      </c>
      <c r="F15" s="769"/>
      <c r="G15" s="769"/>
      <c r="H15" s="769" t="s">
        <v>74</v>
      </c>
      <c r="I15" s="769"/>
      <c r="J15" s="617" t="s">
        <v>60</v>
      </c>
    </row>
    <row r="16" spans="1:10" ht="15">
      <c r="A16" s="56"/>
      <c r="B16" s="44"/>
      <c r="C16" s="42"/>
      <c r="D16" s="49"/>
      <c r="E16" s="760"/>
      <c r="F16" s="761"/>
      <c r="G16" s="761"/>
      <c r="H16" s="762"/>
      <c r="I16" s="763"/>
      <c r="J16" s="59"/>
    </row>
    <row r="17" spans="1:10" ht="15">
      <c r="A17" s="754" t="s">
        <v>75</v>
      </c>
      <c r="B17" s="755"/>
      <c r="C17" s="756"/>
      <c r="D17" s="756"/>
      <c r="E17" s="756"/>
      <c r="F17" s="756"/>
      <c r="G17" s="756"/>
      <c r="H17" s="756"/>
      <c r="I17" s="756"/>
      <c r="J17" s="54">
        <f>SUM(J16:J16)</f>
        <v>0</v>
      </c>
    </row>
    <row r="18" spans="1:10" ht="15">
      <c r="A18" s="46" t="s">
        <v>51</v>
      </c>
      <c r="B18" s="47" t="s">
        <v>52</v>
      </c>
      <c r="C18" s="619" t="s">
        <v>76</v>
      </c>
      <c r="D18" s="619" t="s">
        <v>63</v>
      </c>
      <c r="E18" s="769" t="s">
        <v>73</v>
      </c>
      <c r="F18" s="769"/>
      <c r="G18" s="769"/>
      <c r="H18" s="769" t="s">
        <v>74</v>
      </c>
      <c r="I18" s="769"/>
      <c r="J18" s="617" t="s">
        <v>60</v>
      </c>
    </row>
    <row r="19" spans="1:10" ht="15">
      <c r="A19" s="56"/>
      <c r="B19" s="49"/>
      <c r="C19" s="42"/>
      <c r="D19" s="49"/>
      <c r="E19" s="760"/>
      <c r="F19" s="761"/>
      <c r="G19" s="807"/>
      <c r="H19" s="808"/>
      <c r="I19" s="809"/>
      <c r="J19" s="50"/>
    </row>
    <row r="20" spans="1:10" ht="15">
      <c r="A20" s="754" t="s">
        <v>77</v>
      </c>
      <c r="B20" s="755"/>
      <c r="C20" s="756"/>
      <c r="D20" s="756"/>
      <c r="E20" s="756"/>
      <c r="F20" s="756"/>
      <c r="G20" s="756"/>
      <c r="H20" s="756"/>
      <c r="I20" s="756"/>
      <c r="J20" s="54">
        <f>SUM(J19:J19)</f>
        <v>0</v>
      </c>
    </row>
    <row r="21" spans="1:10" ht="15">
      <c r="A21" s="46" t="s">
        <v>51</v>
      </c>
      <c r="B21" s="47" t="s">
        <v>52</v>
      </c>
      <c r="C21" s="619" t="s">
        <v>78</v>
      </c>
      <c r="D21" s="619" t="s">
        <v>63</v>
      </c>
      <c r="E21" s="769" t="s">
        <v>73</v>
      </c>
      <c r="F21" s="769"/>
      <c r="G21" s="769"/>
      <c r="H21" s="769" t="s">
        <v>74</v>
      </c>
      <c r="I21" s="769"/>
      <c r="J21" s="617" t="s">
        <v>60</v>
      </c>
    </row>
    <row r="22" spans="1:10" ht="15">
      <c r="A22" s="56"/>
      <c r="B22" s="44"/>
      <c r="C22" s="42"/>
      <c r="D22" s="49"/>
      <c r="E22" s="760"/>
      <c r="F22" s="761"/>
      <c r="G22" s="761"/>
      <c r="H22" s="762"/>
      <c r="I22" s="763"/>
      <c r="J22" s="59"/>
    </row>
    <row r="23" spans="1:10" ht="15">
      <c r="A23" s="754" t="s">
        <v>79</v>
      </c>
      <c r="B23" s="755"/>
      <c r="C23" s="756"/>
      <c r="D23" s="756"/>
      <c r="E23" s="756"/>
      <c r="F23" s="756"/>
      <c r="G23" s="756"/>
      <c r="H23" s="756"/>
      <c r="I23" s="756"/>
      <c r="J23" s="54">
        <f>SUM(J22)</f>
        <v>0</v>
      </c>
    </row>
    <row r="24" spans="1:10" ht="15">
      <c r="A24" s="764" t="s">
        <v>51</v>
      </c>
      <c r="B24" s="766" t="s">
        <v>52</v>
      </c>
      <c r="C24" s="767" t="s">
        <v>80</v>
      </c>
      <c r="D24" s="769" t="s">
        <v>81</v>
      </c>
      <c r="E24" s="769"/>
      <c r="F24" s="769" t="s">
        <v>82</v>
      </c>
      <c r="G24" s="769"/>
      <c r="H24" s="769" t="s">
        <v>74</v>
      </c>
      <c r="I24" s="769"/>
      <c r="J24" s="749" t="s">
        <v>60</v>
      </c>
    </row>
    <row r="25" spans="1:10" ht="15">
      <c r="A25" s="765"/>
      <c r="B25" s="767"/>
      <c r="C25" s="768"/>
      <c r="D25" s="620" t="s">
        <v>83</v>
      </c>
      <c r="E25" s="620" t="s">
        <v>84</v>
      </c>
      <c r="F25" s="770"/>
      <c r="G25" s="770"/>
      <c r="H25" s="770"/>
      <c r="I25" s="770"/>
      <c r="J25" s="750"/>
    </row>
    <row r="26" spans="1:10" ht="15">
      <c r="A26" s="56"/>
      <c r="B26" s="60"/>
      <c r="C26" s="61"/>
      <c r="D26" s="62"/>
      <c r="E26" s="62"/>
      <c r="F26" s="751"/>
      <c r="G26" s="752"/>
      <c r="H26" s="753"/>
      <c r="I26" s="753"/>
      <c r="J26" s="55"/>
    </row>
    <row r="27" spans="1:10" ht="15.75" thickBot="1">
      <c r="A27" s="754" t="s">
        <v>85</v>
      </c>
      <c r="B27" s="755"/>
      <c r="C27" s="756"/>
      <c r="D27" s="756"/>
      <c r="E27" s="756"/>
      <c r="F27" s="756"/>
      <c r="G27" s="756"/>
      <c r="H27" s="756"/>
      <c r="I27" s="756"/>
      <c r="J27" s="54">
        <f>SUM(J26:J26)</f>
        <v>0</v>
      </c>
    </row>
    <row r="28" spans="1:10" ht="15.75" thickBot="1">
      <c r="A28" s="757" t="s">
        <v>86</v>
      </c>
      <c r="B28" s="758"/>
      <c r="C28" s="759"/>
      <c r="D28" s="759"/>
      <c r="E28" s="759"/>
      <c r="F28" s="759"/>
      <c r="G28" s="759"/>
      <c r="H28" s="759"/>
      <c r="I28" s="759"/>
      <c r="J28" s="407">
        <f>J14+J17+J20+J27+J23</f>
        <v>124.79</v>
      </c>
    </row>
    <row r="29" spans="1:12" ht="15">
      <c r="A29" s="39" t="s">
        <v>45</v>
      </c>
      <c r="B29" s="67">
        <v>21001</v>
      </c>
      <c r="C29" s="818" t="s">
        <v>149</v>
      </c>
      <c r="D29" s="819"/>
      <c r="E29" s="819"/>
      <c r="F29" s="819"/>
      <c r="G29" s="819"/>
      <c r="H29" s="819"/>
      <c r="I29" s="819"/>
      <c r="J29" s="820"/>
      <c r="K29" t="str">
        <f>H30</f>
        <v>h</v>
      </c>
      <c r="L29" s="416">
        <f>J54</f>
        <v>356.25</v>
      </c>
    </row>
    <row r="30" spans="1:10" ht="15.75" thickBot="1">
      <c r="A30" s="839" t="s">
        <v>47</v>
      </c>
      <c r="B30" s="840"/>
      <c r="C30" s="82" t="s">
        <v>350</v>
      </c>
      <c r="D30" s="793" t="s">
        <v>48</v>
      </c>
      <c r="E30" s="794"/>
      <c r="F30" s="40"/>
      <c r="G30" s="399" t="s">
        <v>49</v>
      </c>
      <c r="H30" s="68" t="s">
        <v>150</v>
      </c>
      <c r="I30" s="795" t="s">
        <v>50</v>
      </c>
      <c r="J30" s="796"/>
    </row>
    <row r="31" spans="1:10" ht="15">
      <c r="A31" s="797" t="s">
        <v>51</v>
      </c>
      <c r="B31" s="798" t="s">
        <v>52</v>
      </c>
      <c r="C31" s="798" t="s">
        <v>53</v>
      </c>
      <c r="D31" s="799" t="s">
        <v>54</v>
      </c>
      <c r="E31" s="801" t="s">
        <v>55</v>
      </c>
      <c r="F31" s="802"/>
      <c r="G31" s="803"/>
      <c r="H31" s="801" t="s">
        <v>56</v>
      </c>
      <c r="I31" s="802"/>
      <c r="J31" s="804"/>
    </row>
    <row r="32" spans="1:10" ht="15">
      <c r="A32" s="765"/>
      <c r="B32" s="841"/>
      <c r="C32" s="767"/>
      <c r="D32" s="800"/>
      <c r="E32" s="401" t="s">
        <v>57</v>
      </c>
      <c r="F32" s="401" t="s">
        <v>58</v>
      </c>
      <c r="G32" s="401" t="s">
        <v>59</v>
      </c>
      <c r="H32" s="401" t="s">
        <v>58</v>
      </c>
      <c r="I32" s="401" t="s">
        <v>59</v>
      </c>
      <c r="J32" s="41" t="s">
        <v>60</v>
      </c>
    </row>
    <row r="33" spans="1:10" ht="33.75">
      <c r="A33" s="220" t="s">
        <v>40</v>
      </c>
      <c r="B33" s="221" t="s">
        <v>165</v>
      </c>
      <c r="C33" s="42" t="s">
        <v>643</v>
      </c>
      <c r="D33" s="222"/>
      <c r="E33" s="223">
        <v>1</v>
      </c>
      <c r="F33" s="223">
        <v>0.8</v>
      </c>
      <c r="G33" s="223">
        <v>0.2</v>
      </c>
      <c r="H33" s="406">
        <v>350.4011</v>
      </c>
      <c r="I33" s="406">
        <v>93.8474</v>
      </c>
      <c r="J33" s="43">
        <f>ROUND(E33*(F33*H33)+(G33*I33),2)</f>
        <v>299.09</v>
      </c>
    </row>
    <row r="34" spans="1:10" ht="15">
      <c r="A34" s="779" t="s">
        <v>61</v>
      </c>
      <c r="B34" s="780"/>
      <c r="C34" s="780"/>
      <c r="D34" s="780"/>
      <c r="E34" s="780"/>
      <c r="F34" s="780"/>
      <c r="G34" s="780"/>
      <c r="H34" s="780"/>
      <c r="I34" s="755"/>
      <c r="J34" s="45">
        <f>SUM(J33:J33)</f>
        <v>299.09</v>
      </c>
    </row>
    <row r="35" spans="1:10" ht="22.5">
      <c r="A35" s="46" t="s">
        <v>51</v>
      </c>
      <c r="B35" s="47" t="s">
        <v>52</v>
      </c>
      <c r="C35" s="400" t="s">
        <v>62</v>
      </c>
      <c r="D35" s="400" t="s">
        <v>63</v>
      </c>
      <c r="E35" s="400" t="s">
        <v>19</v>
      </c>
      <c r="F35" s="270" t="s">
        <v>64</v>
      </c>
      <c r="G35" s="270" t="s">
        <v>65</v>
      </c>
      <c r="H35" s="781" t="s">
        <v>66</v>
      </c>
      <c r="I35" s="782"/>
      <c r="J35" s="48" t="s">
        <v>67</v>
      </c>
    </row>
    <row r="36" spans="1:10" ht="15">
      <c r="A36" s="77" t="s">
        <v>40</v>
      </c>
      <c r="B36" s="78" t="s">
        <v>177</v>
      </c>
      <c r="C36" s="42" t="s">
        <v>642</v>
      </c>
      <c r="D36" s="49" t="s">
        <v>150</v>
      </c>
      <c r="E36" s="376">
        <v>3</v>
      </c>
      <c r="F36" s="35">
        <v>5.6365</v>
      </c>
      <c r="G36" s="165">
        <v>2.219401</v>
      </c>
      <c r="H36" s="774">
        <f>F36*(1+G36)</f>
        <v>18.1461537365</v>
      </c>
      <c r="I36" s="775"/>
      <c r="J36" s="51">
        <f>ROUND(H36*E36,2)</f>
        <v>54.44</v>
      </c>
    </row>
    <row r="37" spans="1:10" ht="15">
      <c r="A37" s="754" t="s">
        <v>68</v>
      </c>
      <c r="B37" s="755"/>
      <c r="C37" s="756"/>
      <c r="D37" s="756"/>
      <c r="E37" s="756"/>
      <c r="F37" s="756"/>
      <c r="G37" s="756"/>
      <c r="H37" s="756"/>
      <c r="I37" s="756"/>
      <c r="J37" s="52">
        <f>SUM(J36:J36)</f>
        <v>54.44</v>
      </c>
    </row>
    <row r="38" spans="1:10" ht="15">
      <c r="A38" s="816" t="s">
        <v>69</v>
      </c>
      <c r="B38" s="817"/>
      <c r="C38" s="817"/>
      <c r="D38" s="817"/>
      <c r="E38" s="817"/>
      <c r="F38" s="817"/>
      <c r="G38" s="817"/>
      <c r="H38" s="817"/>
      <c r="I38" s="79">
        <v>0.05</v>
      </c>
      <c r="J38" s="53">
        <f>ROUND(J37*I38,2)</f>
        <v>2.72</v>
      </c>
    </row>
    <row r="39" spans="1:10" ht="15">
      <c r="A39" s="810" t="s">
        <v>70</v>
      </c>
      <c r="B39" s="811"/>
      <c r="C39" s="812"/>
      <c r="D39" s="812"/>
      <c r="E39" s="812"/>
      <c r="F39" s="812"/>
      <c r="G39" s="812"/>
      <c r="H39" s="812"/>
      <c r="I39" s="812"/>
      <c r="J39" s="80">
        <v>1</v>
      </c>
    </row>
    <row r="40" spans="1:10" ht="15">
      <c r="A40" s="754" t="s">
        <v>71</v>
      </c>
      <c r="B40" s="755"/>
      <c r="C40" s="756"/>
      <c r="D40" s="756"/>
      <c r="E40" s="756"/>
      <c r="F40" s="756"/>
      <c r="G40" s="756"/>
      <c r="H40" s="756"/>
      <c r="I40" s="756"/>
      <c r="J40" s="54">
        <f>ROUND((J34+J37+J38)/J39,2)</f>
        <v>356.25</v>
      </c>
    </row>
    <row r="41" spans="1:10" ht="15">
      <c r="A41" s="46" t="s">
        <v>51</v>
      </c>
      <c r="B41" s="47" t="s">
        <v>52</v>
      </c>
      <c r="C41" s="400" t="s">
        <v>72</v>
      </c>
      <c r="D41" s="400" t="s">
        <v>63</v>
      </c>
      <c r="E41" s="769" t="s">
        <v>73</v>
      </c>
      <c r="F41" s="769"/>
      <c r="G41" s="769"/>
      <c r="H41" s="769" t="s">
        <v>74</v>
      </c>
      <c r="I41" s="769"/>
      <c r="J41" s="403" t="s">
        <v>60</v>
      </c>
    </row>
    <row r="42" spans="1:10" ht="15">
      <c r="A42" s="56"/>
      <c r="B42" s="44"/>
      <c r="C42" s="42"/>
      <c r="D42" s="49"/>
      <c r="E42" s="760"/>
      <c r="F42" s="761"/>
      <c r="G42" s="761"/>
      <c r="H42" s="762"/>
      <c r="I42" s="763"/>
      <c r="J42" s="59"/>
    </row>
    <row r="43" spans="1:10" ht="15">
      <c r="A43" s="754" t="s">
        <v>75</v>
      </c>
      <c r="B43" s="755"/>
      <c r="C43" s="756"/>
      <c r="D43" s="756"/>
      <c r="E43" s="756"/>
      <c r="F43" s="756"/>
      <c r="G43" s="756"/>
      <c r="H43" s="756"/>
      <c r="I43" s="756"/>
      <c r="J43" s="54">
        <f>SUM(J42:J42)</f>
        <v>0</v>
      </c>
    </row>
    <row r="44" spans="1:10" ht="15">
      <c r="A44" s="46" t="s">
        <v>51</v>
      </c>
      <c r="B44" s="47" t="s">
        <v>52</v>
      </c>
      <c r="C44" s="400" t="s">
        <v>76</v>
      </c>
      <c r="D44" s="400" t="s">
        <v>63</v>
      </c>
      <c r="E44" s="769" t="s">
        <v>73</v>
      </c>
      <c r="F44" s="769"/>
      <c r="G44" s="769"/>
      <c r="H44" s="769" t="s">
        <v>74</v>
      </c>
      <c r="I44" s="769"/>
      <c r="J44" s="403" t="s">
        <v>60</v>
      </c>
    </row>
    <row r="45" spans="1:10" ht="15">
      <c r="A45" s="56"/>
      <c r="B45" s="49"/>
      <c r="C45" s="42"/>
      <c r="D45" s="49"/>
      <c r="E45" s="760"/>
      <c r="F45" s="761"/>
      <c r="G45" s="807"/>
      <c r="H45" s="808"/>
      <c r="I45" s="809"/>
      <c r="J45" s="50"/>
    </row>
    <row r="46" spans="1:10" ht="15">
      <c r="A46" s="754" t="s">
        <v>77</v>
      </c>
      <c r="B46" s="755"/>
      <c r="C46" s="756"/>
      <c r="D46" s="756"/>
      <c r="E46" s="756"/>
      <c r="F46" s="756"/>
      <c r="G46" s="756"/>
      <c r="H46" s="756"/>
      <c r="I46" s="756"/>
      <c r="J46" s="54">
        <f>SUM(J45:J45)</f>
        <v>0</v>
      </c>
    </row>
    <row r="47" spans="1:10" ht="22.5" customHeight="1">
      <c r="A47" s="46" t="s">
        <v>51</v>
      </c>
      <c r="B47" s="47" t="s">
        <v>52</v>
      </c>
      <c r="C47" s="400" t="s">
        <v>78</v>
      </c>
      <c r="D47" s="400" t="s">
        <v>63</v>
      </c>
      <c r="E47" s="769" t="s">
        <v>73</v>
      </c>
      <c r="F47" s="769"/>
      <c r="G47" s="769"/>
      <c r="H47" s="769" t="s">
        <v>74</v>
      </c>
      <c r="I47" s="769"/>
      <c r="J47" s="403" t="s">
        <v>60</v>
      </c>
    </row>
    <row r="48" spans="1:10" ht="15">
      <c r="A48" s="56"/>
      <c r="B48" s="44"/>
      <c r="C48" s="42"/>
      <c r="D48" s="49"/>
      <c r="E48" s="760"/>
      <c r="F48" s="761"/>
      <c r="G48" s="761"/>
      <c r="H48" s="762"/>
      <c r="I48" s="763"/>
      <c r="J48" s="59"/>
    </row>
    <row r="49" spans="1:10" ht="15">
      <c r="A49" s="754" t="s">
        <v>79</v>
      </c>
      <c r="B49" s="755"/>
      <c r="C49" s="756"/>
      <c r="D49" s="756"/>
      <c r="E49" s="756"/>
      <c r="F49" s="756"/>
      <c r="G49" s="756"/>
      <c r="H49" s="756"/>
      <c r="I49" s="756"/>
      <c r="J49" s="54">
        <f>SUM(J48)</f>
        <v>0</v>
      </c>
    </row>
    <row r="50" spans="1:10" ht="15">
      <c r="A50" s="764" t="s">
        <v>51</v>
      </c>
      <c r="B50" s="766" t="s">
        <v>52</v>
      </c>
      <c r="C50" s="767" t="s">
        <v>80</v>
      </c>
      <c r="D50" s="769" t="s">
        <v>81</v>
      </c>
      <c r="E50" s="769"/>
      <c r="F50" s="769" t="s">
        <v>82</v>
      </c>
      <c r="G50" s="769"/>
      <c r="H50" s="769" t="s">
        <v>74</v>
      </c>
      <c r="I50" s="769"/>
      <c r="J50" s="749" t="s">
        <v>60</v>
      </c>
    </row>
    <row r="51" spans="1:10" ht="15">
      <c r="A51" s="765"/>
      <c r="B51" s="767"/>
      <c r="C51" s="768"/>
      <c r="D51" s="402" t="s">
        <v>83</v>
      </c>
      <c r="E51" s="402" t="s">
        <v>84</v>
      </c>
      <c r="F51" s="770"/>
      <c r="G51" s="770"/>
      <c r="H51" s="770"/>
      <c r="I51" s="770"/>
      <c r="J51" s="750"/>
    </row>
    <row r="52" spans="1:10" ht="15">
      <c r="A52" s="56"/>
      <c r="B52" s="60"/>
      <c r="C52" s="61"/>
      <c r="D52" s="62"/>
      <c r="E52" s="62"/>
      <c r="F52" s="751"/>
      <c r="G52" s="752"/>
      <c r="H52" s="753"/>
      <c r="I52" s="753"/>
      <c r="J52" s="55"/>
    </row>
    <row r="53" spans="1:10" ht="15.75" thickBot="1">
      <c r="A53" s="754" t="s">
        <v>85</v>
      </c>
      <c r="B53" s="755"/>
      <c r="C53" s="756"/>
      <c r="D53" s="756"/>
      <c r="E53" s="756"/>
      <c r="F53" s="756"/>
      <c r="G53" s="756"/>
      <c r="H53" s="756"/>
      <c r="I53" s="756"/>
      <c r="J53" s="54">
        <f>SUM(J52:J52)</f>
        <v>0</v>
      </c>
    </row>
    <row r="54" spans="1:10" ht="15.75" thickBot="1">
      <c r="A54" s="757" t="s">
        <v>86</v>
      </c>
      <c r="B54" s="758"/>
      <c r="C54" s="759"/>
      <c r="D54" s="759"/>
      <c r="E54" s="759"/>
      <c r="F54" s="759"/>
      <c r="G54" s="759"/>
      <c r="H54" s="759"/>
      <c r="I54" s="759"/>
      <c r="J54" s="407">
        <f>J40+J43+J46+J53+J49</f>
        <v>356.25</v>
      </c>
    </row>
    <row r="55" spans="1:12" ht="27.75" customHeight="1">
      <c r="A55" s="39" t="s">
        <v>45</v>
      </c>
      <c r="B55" s="67">
        <v>21002</v>
      </c>
      <c r="C55" s="818" t="s">
        <v>147</v>
      </c>
      <c r="D55" s="819"/>
      <c r="E55" s="819"/>
      <c r="F55" s="819"/>
      <c r="G55" s="819"/>
      <c r="H55" s="819"/>
      <c r="I55" s="819"/>
      <c r="J55" s="820"/>
      <c r="K55" t="str">
        <f>H56</f>
        <v>un</v>
      </c>
      <c r="L55" s="416">
        <f>J83</f>
        <v>153.66</v>
      </c>
    </row>
    <row r="56" spans="1:10" ht="23.25" thickBot="1">
      <c r="A56" s="791" t="s">
        <v>47</v>
      </c>
      <c r="B56" s="792"/>
      <c r="C56" s="82" t="s">
        <v>351</v>
      </c>
      <c r="D56" s="793" t="s">
        <v>48</v>
      </c>
      <c r="E56" s="794"/>
      <c r="F56" s="40"/>
      <c r="G56" s="399" t="s">
        <v>49</v>
      </c>
      <c r="H56" s="68" t="s">
        <v>89</v>
      </c>
      <c r="I56" s="795" t="s">
        <v>50</v>
      </c>
      <c r="J56" s="796"/>
    </row>
    <row r="57" spans="1:10" ht="15">
      <c r="A57" s="797" t="s">
        <v>51</v>
      </c>
      <c r="B57" s="798" t="s">
        <v>52</v>
      </c>
      <c r="C57" s="798" t="s">
        <v>53</v>
      </c>
      <c r="D57" s="799" t="s">
        <v>54</v>
      </c>
      <c r="E57" s="801" t="s">
        <v>55</v>
      </c>
      <c r="F57" s="802"/>
      <c r="G57" s="803"/>
      <c r="H57" s="801" t="s">
        <v>56</v>
      </c>
      <c r="I57" s="802"/>
      <c r="J57" s="804"/>
    </row>
    <row r="58" spans="1:10" ht="15">
      <c r="A58" s="765"/>
      <c r="B58" s="767"/>
      <c r="C58" s="767"/>
      <c r="D58" s="800"/>
      <c r="E58" s="401" t="s">
        <v>57</v>
      </c>
      <c r="F58" s="401" t="s">
        <v>58</v>
      </c>
      <c r="G58" s="401" t="s">
        <v>59</v>
      </c>
      <c r="H58" s="401" t="s">
        <v>58</v>
      </c>
      <c r="I58" s="401" t="s">
        <v>59</v>
      </c>
      <c r="J58" s="41" t="s">
        <v>60</v>
      </c>
    </row>
    <row r="59" spans="1:10" ht="25.5" customHeight="1">
      <c r="A59" s="69"/>
      <c r="B59" s="70"/>
      <c r="C59" s="71"/>
      <c r="D59" s="72"/>
      <c r="E59" s="73"/>
      <c r="F59" s="73"/>
      <c r="G59" s="73"/>
      <c r="H59" s="73"/>
      <c r="I59" s="73"/>
      <c r="J59" s="43"/>
    </row>
    <row r="60" spans="1:10" ht="15">
      <c r="A60" s="779" t="s">
        <v>61</v>
      </c>
      <c r="B60" s="780"/>
      <c r="C60" s="780"/>
      <c r="D60" s="780"/>
      <c r="E60" s="780"/>
      <c r="F60" s="780"/>
      <c r="G60" s="780"/>
      <c r="H60" s="780"/>
      <c r="I60" s="755"/>
      <c r="J60" s="74">
        <f>SUM(J59:J59)</f>
        <v>0</v>
      </c>
    </row>
    <row r="61" spans="1:10" ht="22.5">
      <c r="A61" s="46" t="s">
        <v>51</v>
      </c>
      <c r="B61" s="47" t="s">
        <v>52</v>
      </c>
      <c r="C61" s="400" t="s">
        <v>62</v>
      </c>
      <c r="D61" s="400" t="s">
        <v>63</v>
      </c>
      <c r="E61" s="400" t="s">
        <v>19</v>
      </c>
      <c r="F61" s="270" t="s">
        <v>64</v>
      </c>
      <c r="G61" s="270" t="s">
        <v>65</v>
      </c>
      <c r="H61" s="781" t="s">
        <v>66</v>
      </c>
      <c r="I61" s="782"/>
      <c r="J61" s="48" t="s">
        <v>67</v>
      </c>
    </row>
    <row r="62" spans="1:12" s="66" customFormat="1" ht="15">
      <c r="A62" s="75" t="s">
        <v>40</v>
      </c>
      <c r="B62" s="76" t="s">
        <v>182</v>
      </c>
      <c r="C62" s="42" t="s">
        <v>644</v>
      </c>
      <c r="D62" s="49" t="s">
        <v>150</v>
      </c>
      <c r="E62" s="404">
        <v>1</v>
      </c>
      <c r="F62" s="35">
        <v>8.0298</v>
      </c>
      <c r="G62" s="165">
        <v>1.890757</v>
      </c>
      <c r="H62" s="774">
        <f>F62*(1+G62)</f>
        <v>23.2122005586</v>
      </c>
      <c r="I62" s="775"/>
      <c r="J62" s="50">
        <f>ROUND(H62*E62,2)</f>
        <v>23.21</v>
      </c>
      <c r="K62"/>
      <c r="L62"/>
    </row>
    <row r="63" spans="1:10" ht="15">
      <c r="A63" s="56" t="s">
        <v>14</v>
      </c>
      <c r="B63" s="49">
        <v>20060</v>
      </c>
      <c r="C63" s="42" t="s">
        <v>645</v>
      </c>
      <c r="D63" s="49" t="s">
        <v>150</v>
      </c>
      <c r="E63" s="406">
        <v>0.2</v>
      </c>
      <c r="F63" s="35">
        <v>12.47</v>
      </c>
      <c r="G63" s="165">
        <v>1.5727000000000002</v>
      </c>
      <c r="H63" s="774">
        <f>F63*(1+G63)</f>
        <v>32.081569</v>
      </c>
      <c r="I63" s="775"/>
      <c r="J63" s="58">
        <f>ROUND(H63*E63,2)</f>
        <v>6.42</v>
      </c>
    </row>
    <row r="64" spans="1:10" ht="15">
      <c r="A64" s="77" t="s">
        <v>40</v>
      </c>
      <c r="B64" s="78" t="s">
        <v>177</v>
      </c>
      <c r="C64" s="42" t="s">
        <v>642</v>
      </c>
      <c r="D64" s="49" t="s">
        <v>150</v>
      </c>
      <c r="E64" s="376">
        <v>1</v>
      </c>
      <c r="F64" s="35">
        <v>5.6365</v>
      </c>
      <c r="G64" s="165">
        <v>2.219401</v>
      </c>
      <c r="H64" s="774">
        <f>F64*(1+G64)</f>
        <v>18.1461537365</v>
      </c>
      <c r="I64" s="775"/>
      <c r="J64" s="51">
        <f>ROUND(H64*E64,2)</f>
        <v>18.15</v>
      </c>
    </row>
    <row r="65" spans="1:10" ht="15">
      <c r="A65" s="754" t="s">
        <v>68</v>
      </c>
      <c r="B65" s="755"/>
      <c r="C65" s="756"/>
      <c r="D65" s="756"/>
      <c r="E65" s="756"/>
      <c r="F65" s="756"/>
      <c r="G65" s="756"/>
      <c r="H65" s="756"/>
      <c r="I65" s="756"/>
      <c r="J65" s="52">
        <f>SUM(J62:J64)</f>
        <v>47.78</v>
      </c>
    </row>
    <row r="66" spans="1:10" ht="15">
      <c r="A66" s="816" t="s">
        <v>69</v>
      </c>
      <c r="B66" s="817"/>
      <c r="C66" s="817"/>
      <c r="D66" s="817"/>
      <c r="E66" s="817"/>
      <c r="F66" s="817"/>
      <c r="G66" s="817"/>
      <c r="H66" s="817"/>
      <c r="I66" s="79">
        <v>0.05</v>
      </c>
      <c r="J66" s="53">
        <f>ROUND(J65*I66,2)</f>
        <v>2.39</v>
      </c>
    </row>
    <row r="67" spans="1:10" ht="15">
      <c r="A67" s="810" t="s">
        <v>70</v>
      </c>
      <c r="B67" s="811"/>
      <c r="C67" s="812"/>
      <c r="D67" s="812"/>
      <c r="E67" s="812"/>
      <c r="F67" s="812"/>
      <c r="G67" s="812"/>
      <c r="H67" s="812"/>
      <c r="I67" s="812"/>
      <c r="J67" s="80">
        <v>1</v>
      </c>
    </row>
    <row r="68" spans="1:10" ht="15">
      <c r="A68" s="754" t="s">
        <v>71</v>
      </c>
      <c r="B68" s="755"/>
      <c r="C68" s="756"/>
      <c r="D68" s="756"/>
      <c r="E68" s="756"/>
      <c r="F68" s="756"/>
      <c r="G68" s="756"/>
      <c r="H68" s="756"/>
      <c r="I68" s="756"/>
      <c r="J68" s="54">
        <f>ROUND((J60+J65+J66)/J67,2)</f>
        <v>50.17</v>
      </c>
    </row>
    <row r="69" spans="1:10" ht="15">
      <c r="A69" s="46" t="s">
        <v>51</v>
      </c>
      <c r="B69" s="47" t="s">
        <v>52</v>
      </c>
      <c r="C69" s="400" t="s">
        <v>72</v>
      </c>
      <c r="D69" s="400" t="s">
        <v>63</v>
      </c>
      <c r="E69" s="769" t="s">
        <v>73</v>
      </c>
      <c r="F69" s="769"/>
      <c r="G69" s="769"/>
      <c r="H69" s="769" t="s">
        <v>74</v>
      </c>
      <c r="I69" s="769"/>
      <c r="J69" s="403" t="s">
        <v>60</v>
      </c>
    </row>
    <row r="70" spans="1:12" s="66" customFormat="1" ht="22.5">
      <c r="A70" s="56" t="s">
        <v>14</v>
      </c>
      <c r="B70" s="44">
        <v>10257</v>
      </c>
      <c r="C70" s="42" t="s">
        <v>668</v>
      </c>
      <c r="D70" s="49" t="s">
        <v>243</v>
      </c>
      <c r="E70" s="760">
        <v>1</v>
      </c>
      <c r="F70" s="761"/>
      <c r="G70" s="761"/>
      <c r="H70" s="774">
        <v>62.05</v>
      </c>
      <c r="I70" s="775"/>
      <c r="J70" s="55">
        <f>ROUND(H70*E70,2)</f>
        <v>62.05</v>
      </c>
      <c r="K70"/>
      <c r="L70"/>
    </row>
    <row r="71" spans="1:14" ht="15">
      <c r="A71" s="754" t="s">
        <v>75</v>
      </c>
      <c r="B71" s="755"/>
      <c r="C71" s="756"/>
      <c r="D71" s="756"/>
      <c r="E71" s="756"/>
      <c r="F71" s="756"/>
      <c r="G71" s="756"/>
      <c r="H71" s="756"/>
      <c r="I71" s="756"/>
      <c r="J71" s="54">
        <f>SUM(J70:J70)</f>
        <v>62.05</v>
      </c>
      <c r="M71" t="s">
        <v>145</v>
      </c>
      <c r="N71">
        <v>4750</v>
      </c>
    </row>
    <row r="72" spans="1:14" ht="15">
      <c r="A72" s="46" t="s">
        <v>51</v>
      </c>
      <c r="B72" s="47" t="s">
        <v>52</v>
      </c>
      <c r="C72" s="400" t="s">
        <v>76</v>
      </c>
      <c r="D72" s="400" t="s">
        <v>63</v>
      </c>
      <c r="E72" s="769" t="s">
        <v>73</v>
      </c>
      <c r="F72" s="769"/>
      <c r="G72" s="769"/>
      <c r="H72" s="769" t="s">
        <v>74</v>
      </c>
      <c r="I72" s="769"/>
      <c r="J72" s="403" t="s">
        <v>60</v>
      </c>
      <c r="M72" t="s">
        <v>145</v>
      </c>
      <c r="N72">
        <v>4083</v>
      </c>
    </row>
    <row r="73" spans="1:10" ht="22.5">
      <c r="A73" s="56" t="s">
        <v>40</v>
      </c>
      <c r="B73" s="49">
        <v>1109669</v>
      </c>
      <c r="C73" s="42" t="s">
        <v>632</v>
      </c>
      <c r="D73" s="49" t="s">
        <v>4</v>
      </c>
      <c r="E73" s="838">
        <v>0.006</v>
      </c>
      <c r="F73" s="838"/>
      <c r="G73" s="838"/>
      <c r="H73" s="774">
        <v>450.56</v>
      </c>
      <c r="I73" s="775"/>
      <c r="J73" s="50">
        <f>ROUND(H73*E73,2)</f>
        <v>2.7</v>
      </c>
    </row>
    <row r="74" spans="1:10" ht="22.5">
      <c r="A74" s="56" t="s">
        <v>40</v>
      </c>
      <c r="B74" s="44">
        <v>1107892</v>
      </c>
      <c r="C74" s="42" t="s">
        <v>121</v>
      </c>
      <c r="D74" s="49" t="s">
        <v>4</v>
      </c>
      <c r="E74" s="771">
        <v>0.1</v>
      </c>
      <c r="F74" s="772"/>
      <c r="G74" s="773"/>
      <c r="H74" s="774">
        <v>387.44</v>
      </c>
      <c r="I74" s="775"/>
      <c r="J74" s="58">
        <f>ROUND(H74*E74,2)</f>
        <v>38.74</v>
      </c>
    </row>
    <row r="75" spans="1:10" ht="15">
      <c r="A75" s="754" t="s">
        <v>77</v>
      </c>
      <c r="B75" s="755"/>
      <c r="C75" s="756"/>
      <c r="D75" s="756"/>
      <c r="E75" s="756"/>
      <c r="F75" s="756"/>
      <c r="G75" s="756"/>
      <c r="H75" s="756"/>
      <c r="I75" s="756"/>
      <c r="J75" s="54">
        <f>SUM(J73:J74)</f>
        <v>41.440000000000005</v>
      </c>
    </row>
    <row r="76" spans="1:10" ht="15">
      <c r="A76" s="46" t="s">
        <v>51</v>
      </c>
      <c r="B76" s="47" t="s">
        <v>52</v>
      </c>
      <c r="C76" s="400" t="s">
        <v>78</v>
      </c>
      <c r="D76" s="400" t="s">
        <v>63</v>
      </c>
      <c r="E76" s="769" t="s">
        <v>73</v>
      </c>
      <c r="F76" s="769"/>
      <c r="G76" s="769"/>
      <c r="H76" s="769" t="s">
        <v>74</v>
      </c>
      <c r="I76" s="769"/>
      <c r="J76" s="403" t="s">
        <v>60</v>
      </c>
    </row>
    <row r="77" spans="1:10" ht="15">
      <c r="A77" s="56"/>
      <c r="B77" s="44"/>
      <c r="C77" s="42"/>
      <c r="D77" s="49"/>
      <c r="E77" s="771"/>
      <c r="F77" s="772"/>
      <c r="G77" s="773"/>
      <c r="H77" s="762"/>
      <c r="I77" s="763"/>
      <c r="J77" s="59"/>
    </row>
    <row r="78" spans="1:10" ht="15">
      <c r="A78" s="754" t="s">
        <v>79</v>
      </c>
      <c r="B78" s="755"/>
      <c r="C78" s="756"/>
      <c r="D78" s="756"/>
      <c r="E78" s="756"/>
      <c r="F78" s="756"/>
      <c r="G78" s="756"/>
      <c r="H78" s="756"/>
      <c r="I78" s="756"/>
      <c r="J78" s="54">
        <f>SUM(J77)</f>
        <v>0</v>
      </c>
    </row>
    <row r="79" spans="1:10" ht="15">
      <c r="A79" s="764" t="s">
        <v>51</v>
      </c>
      <c r="B79" s="766" t="s">
        <v>52</v>
      </c>
      <c r="C79" s="767" t="s">
        <v>80</v>
      </c>
      <c r="D79" s="769" t="s">
        <v>81</v>
      </c>
      <c r="E79" s="769"/>
      <c r="F79" s="769" t="s">
        <v>82</v>
      </c>
      <c r="G79" s="769"/>
      <c r="H79" s="769" t="s">
        <v>74</v>
      </c>
      <c r="I79" s="769"/>
      <c r="J79" s="749" t="s">
        <v>60</v>
      </c>
    </row>
    <row r="80" spans="1:10" ht="15">
      <c r="A80" s="765"/>
      <c r="B80" s="767"/>
      <c r="C80" s="768"/>
      <c r="D80" s="402" t="s">
        <v>83</v>
      </c>
      <c r="E80" s="402" t="s">
        <v>84</v>
      </c>
      <c r="F80" s="770"/>
      <c r="G80" s="770"/>
      <c r="H80" s="770"/>
      <c r="I80" s="770"/>
      <c r="J80" s="750"/>
    </row>
    <row r="81" spans="1:10" ht="15">
      <c r="A81" s="56"/>
      <c r="B81" s="60"/>
      <c r="C81" s="61"/>
      <c r="D81" s="62"/>
      <c r="E81" s="62"/>
      <c r="F81" s="751"/>
      <c r="G81" s="752"/>
      <c r="H81" s="753"/>
      <c r="I81" s="753"/>
      <c r="J81" s="55"/>
    </row>
    <row r="82" spans="1:10" ht="15.75" thickBot="1">
      <c r="A82" s="754" t="s">
        <v>85</v>
      </c>
      <c r="B82" s="755"/>
      <c r="C82" s="756"/>
      <c r="D82" s="756"/>
      <c r="E82" s="756"/>
      <c r="F82" s="756"/>
      <c r="G82" s="756"/>
      <c r="H82" s="756"/>
      <c r="I82" s="756"/>
      <c r="J82" s="54">
        <f>SUM(J81:J81)</f>
        <v>0</v>
      </c>
    </row>
    <row r="83" spans="1:10" ht="15.75" thickBot="1">
      <c r="A83" s="757" t="s">
        <v>86</v>
      </c>
      <c r="B83" s="758"/>
      <c r="C83" s="759"/>
      <c r="D83" s="759"/>
      <c r="E83" s="759"/>
      <c r="F83" s="759"/>
      <c r="G83" s="759"/>
      <c r="H83" s="759"/>
      <c r="I83" s="759"/>
      <c r="J83" s="407">
        <f>J68+J71+J75+J82+J78</f>
        <v>153.66</v>
      </c>
    </row>
    <row r="84" spans="1:12" ht="15">
      <c r="A84" s="39" t="s">
        <v>45</v>
      </c>
      <c r="B84" s="67">
        <v>23001</v>
      </c>
      <c r="C84" s="818" t="s">
        <v>291</v>
      </c>
      <c r="D84" s="819"/>
      <c r="E84" s="819"/>
      <c r="F84" s="819"/>
      <c r="G84" s="819"/>
      <c r="H84" s="819"/>
      <c r="I84" s="819"/>
      <c r="J84" s="820"/>
      <c r="K84" t="str">
        <f>H85</f>
        <v>un</v>
      </c>
      <c r="L84" s="416">
        <f>J113</f>
        <v>1050.5</v>
      </c>
    </row>
    <row r="85" spans="1:10" ht="23.25" customHeight="1" thickBot="1">
      <c r="A85" s="791" t="s">
        <v>47</v>
      </c>
      <c r="B85" s="792"/>
      <c r="C85" s="377" t="s">
        <v>350</v>
      </c>
      <c r="D85" s="793" t="s">
        <v>48</v>
      </c>
      <c r="E85" s="794"/>
      <c r="F85" s="40"/>
      <c r="G85" s="399" t="s">
        <v>49</v>
      </c>
      <c r="H85" s="68" t="s">
        <v>89</v>
      </c>
      <c r="I85" s="795" t="s">
        <v>295</v>
      </c>
      <c r="J85" s="796"/>
    </row>
    <row r="86" spans="1:10" ht="15">
      <c r="A86" s="797" t="s">
        <v>51</v>
      </c>
      <c r="B86" s="798" t="s">
        <v>52</v>
      </c>
      <c r="C86" s="798" t="s">
        <v>53</v>
      </c>
      <c r="D86" s="799" t="s">
        <v>54</v>
      </c>
      <c r="E86" s="801" t="s">
        <v>55</v>
      </c>
      <c r="F86" s="802"/>
      <c r="G86" s="803"/>
      <c r="H86" s="801" t="s">
        <v>56</v>
      </c>
      <c r="I86" s="802"/>
      <c r="J86" s="804"/>
    </row>
    <row r="87" spans="1:10" ht="15">
      <c r="A87" s="765"/>
      <c r="B87" s="767"/>
      <c r="C87" s="767"/>
      <c r="D87" s="800"/>
      <c r="E87" s="401" t="s">
        <v>57</v>
      </c>
      <c r="F87" s="401" t="s">
        <v>58</v>
      </c>
      <c r="G87" s="401" t="s">
        <v>59</v>
      </c>
      <c r="H87" s="401" t="s">
        <v>58</v>
      </c>
      <c r="I87" s="401" t="s">
        <v>59</v>
      </c>
      <c r="J87" s="41" t="s">
        <v>60</v>
      </c>
    </row>
    <row r="88" spans="1:12" ht="15">
      <c r="A88" s="69"/>
      <c r="B88" s="70"/>
      <c r="C88" s="71"/>
      <c r="D88" s="72"/>
      <c r="E88" s="73"/>
      <c r="F88" s="73"/>
      <c r="G88" s="73"/>
      <c r="H88" s="73"/>
      <c r="I88" s="73"/>
      <c r="J88" s="43"/>
      <c r="K88" s="66"/>
      <c r="L88" s="66"/>
    </row>
    <row r="89" spans="1:10" ht="15">
      <c r="A89" s="779" t="s">
        <v>61</v>
      </c>
      <c r="B89" s="780"/>
      <c r="C89" s="780"/>
      <c r="D89" s="780"/>
      <c r="E89" s="780"/>
      <c r="F89" s="780"/>
      <c r="G89" s="780"/>
      <c r="H89" s="780"/>
      <c r="I89" s="755"/>
      <c r="J89" s="74">
        <f>SUM(J88:J88)</f>
        <v>0</v>
      </c>
    </row>
    <row r="90" spans="1:10" ht="22.5">
      <c r="A90" s="46" t="s">
        <v>51</v>
      </c>
      <c r="B90" s="47" t="s">
        <v>52</v>
      </c>
      <c r="C90" s="400" t="s">
        <v>62</v>
      </c>
      <c r="D90" s="400" t="s">
        <v>63</v>
      </c>
      <c r="E90" s="400" t="s">
        <v>19</v>
      </c>
      <c r="F90" s="270" t="s">
        <v>64</v>
      </c>
      <c r="G90" s="270" t="s">
        <v>65</v>
      </c>
      <c r="H90" s="781" t="s">
        <v>66</v>
      </c>
      <c r="I90" s="782"/>
      <c r="J90" s="48" t="s">
        <v>67</v>
      </c>
    </row>
    <row r="91" spans="1:10" ht="15">
      <c r="A91" s="75" t="s">
        <v>40</v>
      </c>
      <c r="B91" s="76" t="s">
        <v>182</v>
      </c>
      <c r="C91" s="42" t="s">
        <v>644</v>
      </c>
      <c r="D91" s="49" t="s">
        <v>150</v>
      </c>
      <c r="E91" s="404">
        <v>0.2</v>
      </c>
      <c r="F91" s="35">
        <v>8.0298</v>
      </c>
      <c r="G91" s="165">
        <v>1.890757</v>
      </c>
      <c r="H91" s="856">
        <f>F91*(1+G91)</f>
        <v>23.2122005586</v>
      </c>
      <c r="I91" s="856"/>
      <c r="J91" s="50">
        <f>ROUND(H91*E91,2)</f>
        <v>4.64</v>
      </c>
    </row>
    <row r="92" spans="1:10" ht="15">
      <c r="A92" s="77" t="s">
        <v>40</v>
      </c>
      <c r="B92" s="78" t="s">
        <v>177</v>
      </c>
      <c r="C92" s="42" t="s">
        <v>642</v>
      </c>
      <c r="D92" s="49" t="s">
        <v>150</v>
      </c>
      <c r="E92" s="376">
        <v>0.4</v>
      </c>
      <c r="F92" s="35">
        <v>5.6365</v>
      </c>
      <c r="G92" s="165">
        <v>2.219401</v>
      </c>
      <c r="H92" s="856">
        <f>F92*(1+G92)</f>
        <v>18.1461537365</v>
      </c>
      <c r="I92" s="856"/>
      <c r="J92" s="51">
        <f>ROUND(H92*E92,2)</f>
        <v>7.26</v>
      </c>
    </row>
    <row r="93" spans="1:10" ht="15">
      <c r="A93" s="754" t="s">
        <v>68</v>
      </c>
      <c r="B93" s="755"/>
      <c r="C93" s="756"/>
      <c r="D93" s="756"/>
      <c r="E93" s="756"/>
      <c r="F93" s="756"/>
      <c r="G93" s="756"/>
      <c r="H93" s="756"/>
      <c r="I93" s="756"/>
      <c r="J93" s="52">
        <f>SUM(J91:J92)</f>
        <v>11.899999999999999</v>
      </c>
    </row>
    <row r="94" spans="1:10" ht="15">
      <c r="A94" s="816" t="s">
        <v>69</v>
      </c>
      <c r="B94" s="817"/>
      <c r="C94" s="817"/>
      <c r="D94" s="817"/>
      <c r="E94" s="817"/>
      <c r="F94" s="817"/>
      <c r="G94" s="817"/>
      <c r="H94" s="817"/>
      <c r="I94" s="79">
        <v>0</v>
      </c>
      <c r="J94" s="53">
        <f>ROUND(J93*I94,2)</f>
        <v>0</v>
      </c>
    </row>
    <row r="95" spans="1:10" ht="15">
      <c r="A95" s="810" t="s">
        <v>70</v>
      </c>
      <c r="B95" s="811"/>
      <c r="C95" s="812"/>
      <c r="D95" s="812"/>
      <c r="E95" s="812"/>
      <c r="F95" s="812"/>
      <c r="G95" s="812"/>
      <c r="H95" s="812"/>
      <c r="I95" s="812"/>
      <c r="J95" s="80">
        <v>1</v>
      </c>
    </row>
    <row r="96" spans="1:12" ht="15">
      <c r="A96" s="754" t="s">
        <v>71</v>
      </c>
      <c r="B96" s="755"/>
      <c r="C96" s="756"/>
      <c r="D96" s="756"/>
      <c r="E96" s="756"/>
      <c r="F96" s="756"/>
      <c r="G96" s="756"/>
      <c r="H96" s="756"/>
      <c r="I96" s="756"/>
      <c r="J96" s="54">
        <f>ROUND((J89+J93+J94)/J95,2)</f>
        <v>11.9</v>
      </c>
      <c r="K96" s="66"/>
      <c r="L96" s="66"/>
    </row>
    <row r="97" spans="1:10" ht="15">
      <c r="A97" s="46" t="s">
        <v>51</v>
      </c>
      <c r="B97" s="47" t="s">
        <v>52</v>
      </c>
      <c r="C97" s="400" t="s">
        <v>72</v>
      </c>
      <c r="D97" s="400" t="s">
        <v>63</v>
      </c>
      <c r="E97" s="769" t="s">
        <v>73</v>
      </c>
      <c r="F97" s="769"/>
      <c r="G97" s="769"/>
      <c r="H97" s="769" t="s">
        <v>74</v>
      </c>
      <c r="I97" s="769"/>
      <c r="J97" s="403" t="s">
        <v>60</v>
      </c>
    </row>
    <row r="98" spans="1:10" ht="22.5">
      <c r="A98" s="56" t="s">
        <v>40</v>
      </c>
      <c r="B98" s="44" t="s">
        <v>292</v>
      </c>
      <c r="C98" s="42" t="s">
        <v>669</v>
      </c>
      <c r="D98" s="49" t="s">
        <v>89</v>
      </c>
      <c r="E98" s="760">
        <v>1</v>
      </c>
      <c r="F98" s="761"/>
      <c r="G98" s="761"/>
      <c r="H98" s="774">
        <v>457.5856</v>
      </c>
      <c r="I98" s="775"/>
      <c r="J98" s="55">
        <f>ROUND(H98*E98,2)</f>
        <v>457.59</v>
      </c>
    </row>
    <row r="99" spans="1:10" ht="15">
      <c r="A99" s="754" t="s">
        <v>75</v>
      </c>
      <c r="B99" s="755"/>
      <c r="C99" s="756"/>
      <c r="D99" s="756"/>
      <c r="E99" s="756"/>
      <c r="F99" s="756"/>
      <c r="G99" s="756"/>
      <c r="H99" s="756"/>
      <c r="I99" s="756"/>
      <c r="J99" s="54">
        <f>SUM(J98:J98)</f>
        <v>457.59</v>
      </c>
    </row>
    <row r="100" spans="1:10" ht="15">
      <c r="A100" s="46" t="s">
        <v>51</v>
      </c>
      <c r="B100" s="47" t="s">
        <v>52</v>
      </c>
      <c r="C100" s="400" t="s">
        <v>76</v>
      </c>
      <c r="D100" s="400" t="s">
        <v>63</v>
      </c>
      <c r="E100" s="769" t="s">
        <v>73</v>
      </c>
      <c r="F100" s="769"/>
      <c r="G100" s="769"/>
      <c r="H100" s="769" t="s">
        <v>74</v>
      </c>
      <c r="I100" s="769"/>
      <c r="J100" s="403" t="s">
        <v>60</v>
      </c>
    </row>
    <row r="101" spans="1:10" ht="22.5">
      <c r="A101" s="56" t="s">
        <v>40</v>
      </c>
      <c r="B101" s="49">
        <v>2009619</v>
      </c>
      <c r="C101" s="42" t="s">
        <v>633</v>
      </c>
      <c r="D101" s="49" t="s">
        <v>146</v>
      </c>
      <c r="E101" s="857">
        <v>3.81</v>
      </c>
      <c r="F101" s="858"/>
      <c r="G101" s="858"/>
      <c r="H101" s="774">
        <v>99.37</v>
      </c>
      <c r="I101" s="775"/>
      <c r="J101" s="58">
        <f>ROUND(H101*E101,2)</f>
        <v>378.6</v>
      </c>
    </row>
    <row r="102" spans="1:10" ht="22.5">
      <c r="A102" s="56" t="s">
        <v>40</v>
      </c>
      <c r="B102" s="44">
        <v>1109669</v>
      </c>
      <c r="C102" s="42" t="s">
        <v>632</v>
      </c>
      <c r="D102" s="49" t="s">
        <v>4</v>
      </c>
      <c r="E102" s="771">
        <v>0.06</v>
      </c>
      <c r="F102" s="772"/>
      <c r="G102" s="772"/>
      <c r="H102" s="774">
        <v>450.56</v>
      </c>
      <c r="I102" s="775"/>
      <c r="J102" s="58">
        <f>ROUND(H102*E102,2)</f>
        <v>27.03</v>
      </c>
    </row>
    <row r="103" spans="1:10" ht="22.5">
      <c r="A103" s="56" t="s">
        <v>40</v>
      </c>
      <c r="B103" s="44">
        <v>1107892</v>
      </c>
      <c r="C103" s="42" t="s">
        <v>121</v>
      </c>
      <c r="D103" s="49" t="s">
        <v>4</v>
      </c>
      <c r="E103" s="771">
        <v>0.25</v>
      </c>
      <c r="F103" s="772"/>
      <c r="G103" s="772"/>
      <c r="H103" s="774">
        <v>387.44</v>
      </c>
      <c r="I103" s="775"/>
      <c r="J103" s="58">
        <f>ROUND(H103*E103,2)</f>
        <v>96.86</v>
      </c>
    </row>
    <row r="104" spans="1:10" ht="33.75">
      <c r="A104" s="56" t="s">
        <v>40</v>
      </c>
      <c r="B104" s="44">
        <v>3103302</v>
      </c>
      <c r="C104" s="42" t="s">
        <v>634</v>
      </c>
      <c r="D104" s="49" t="s">
        <v>146</v>
      </c>
      <c r="E104" s="836">
        <v>1.24</v>
      </c>
      <c r="F104" s="837"/>
      <c r="G104" s="837"/>
      <c r="H104" s="774">
        <v>62.24</v>
      </c>
      <c r="I104" s="775"/>
      <c r="J104" s="58">
        <f>ROUND(H104*E104,2)</f>
        <v>77.18</v>
      </c>
    </row>
    <row r="105" spans="1:10" ht="15">
      <c r="A105" s="754" t="s">
        <v>77</v>
      </c>
      <c r="B105" s="755"/>
      <c r="C105" s="756"/>
      <c r="D105" s="756"/>
      <c r="E105" s="756"/>
      <c r="F105" s="756"/>
      <c r="G105" s="756"/>
      <c r="H105" s="756"/>
      <c r="I105" s="756"/>
      <c r="J105" s="54">
        <f>SUM(J101:J104)</f>
        <v>579.6700000000001</v>
      </c>
    </row>
    <row r="106" spans="1:10" ht="15">
      <c r="A106" s="46" t="s">
        <v>51</v>
      </c>
      <c r="B106" s="47" t="s">
        <v>52</v>
      </c>
      <c r="C106" s="400" t="s">
        <v>78</v>
      </c>
      <c r="D106" s="400" t="s">
        <v>63</v>
      </c>
      <c r="E106" s="769" t="s">
        <v>73</v>
      </c>
      <c r="F106" s="769"/>
      <c r="G106" s="769"/>
      <c r="H106" s="769" t="s">
        <v>74</v>
      </c>
      <c r="I106" s="769"/>
      <c r="J106" s="403" t="s">
        <v>60</v>
      </c>
    </row>
    <row r="107" spans="1:10" ht="22.5">
      <c r="A107" s="56" t="s">
        <v>40</v>
      </c>
      <c r="B107" s="44" t="s">
        <v>292</v>
      </c>
      <c r="C107" s="42" t="s">
        <v>293</v>
      </c>
      <c r="D107" s="49" t="s">
        <v>5</v>
      </c>
      <c r="E107" s="760">
        <v>0.043</v>
      </c>
      <c r="F107" s="761"/>
      <c r="G107" s="761"/>
      <c r="H107" s="762">
        <v>31.25</v>
      </c>
      <c r="I107" s="763"/>
      <c r="J107" s="55">
        <f>ROUND(H107*E107,2)</f>
        <v>1.34</v>
      </c>
    </row>
    <row r="108" spans="1:10" ht="15">
      <c r="A108" s="754" t="s">
        <v>79</v>
      </c>
      <c r="B108" s="755"/>
      <c r="C108" s="756"/>
      <c r="D108" s="756"/>
      <c r="E108" s="756"/>
      <c r="F108" s="756"/>
      <c r="G108" s="756"/>
      <c r="H108" s="756"/>
      <c r="I108" s="756"/>
      <c r="J108" s="54">
        <f>SUM(J107)</f>
        <v>1.34</v>
      </c>
    </row>
    <row r="109" spans="1:10" ht="15">
      <c r="A109" s="764" t="s">
        <v>51</v>
      </c>
      <c r="B109" s="766" t="s">
        <v>52</v>
      </c>
      <c r="C109" s="767" t="s">
        <v>80</v>
      </c>
      <c r="D109" s="769" t="s">
        <v>81</v>
      </c>
      <c r="E109" s="769"/>
      <c r="F109" s="769" t="s">
        <v>82</v>
      </c>
      <c r="G109" s="769"/>
      <c r="H109" s="769" t="s">
        <v>74</v>
      </c>
      <c r="I109" s="769"/>
      <c r="J109" s="749" t="s">
        <v>60</v>
      </c>
    </row>
    <row r="110" spans="1:10" ht="15">
      <c r="A110" s="765"/>
      <c r="B110" s="767"/>
      <c r="C110" s="768"/>
      <c r="D110" s="402" t="s">
        <v>83</v>
      </c>
      <c r="E110" s="402" t="s">
        <v>84</v>
      </c>
      <c r="F110" s="770"/>
      <c r="G110" s="770"/>
      <c r="H110" s="770"/>
      <c r="I110" s="770"/>
      <c r="J110" s="750"/>
    </row>
    <row r="111" spans="1:10" ht="33.75">
      <c r="A111" s="56" t="s">
        <v>40</v>
      </c>
      <c r="B111" s="60" t="s">
        <v>294</v>
      </c>
      <c r="C111" s="61" t="s">
        <v>293</v>
      </c>
      <c r="D111" s="62"/>
      <c r="E111" s="62"/>
      <c r="F111" s="751">
        <v>0.043</v>
      </c>
      <c r="G111" s="752"/>
      <c r="H111" s="753">
        <v>0</v>
      </c>
      <c r="I111" s="753"/>
      <c r="J111" s="55">
        <f>ROUND(H111*F111,2)</f>
        <v>0</v>
      </c>
    </row>
    <row r="112" spans="1:10" ht="15.75" thickBot="1">
      <c r="A112" s="754" t="s">
        <v>85</v>
      </c>
      <c r="B112" s="755"/>
      <c r="C112" s="756"/>
      <c r="D112" s="756"/>
      <c r="E112" s="756"/>
      <c r="F112" s="756"/>
      <c r="G112" s="756"/>
      <c r="H112" s="756"/>
      <c r="I112" s="756"/>
      <c r="J112" s="54">
        <f>SUM(J111:J111)</f>
        <v>0</v>
      </c>
    </row>
    <row r="113" spans="1:10" ht="15.75" thickBot="1">
      <c r="A113" s="757" t="s">
        <v>86</v>
      </c>
      <c r="B113" s="758"/>
      <c r="C113" s="759"/>
      <c r="D113" s="759"/>
      <c r="E113" s="759"/>
      <c r="F113" s="759"/>
      <c r="G113" s="759"/>
      <c r="H113" s="759"/>
      <c r="I113" s="759"/>
      <c r="J113" s="407">
        <f>J96+J99+J105+J112+J108</f>
        <v>1050.5</v>
      </c>
    </row>
    <row r="114" spans="1:12" ht="15">
      <c r="A114" s="39" t="s">
        <v>45</v>
      </c>
      <c r="B114" s="67">
        <v>22001</v>
      </c>
      <c r="C114" s="818" t="s">
        <v>367</v>
      </c>
      <c r="D114" s="819"/>
      <c r="E114" s="819"/>
      <c r="F114" s="819"/>
      <c r="G114" s="819"/>
      <c r="H114" s="819"/>
      <c r="I114" s="819"/>
      <c r="J114" s="820"/>
      <c r="K114" t="str">
        <f>H115</f>
        <v>m³</v>
      </c>
      <c r="L114" s="416">
        <f>J141</f>
        <v>69.61</v>
      </c>
    </row>
    <row r="115" spans="1:10" ht="23.25" thickBot="1">
      <c r="A115" s="791" t="s">
        <v>47</v>
      </c>
      <c r="B115" s="792"/>
      <c r="C115" s="82" t="s">
        <v>368</v>
      </c>
      <c r="D115" s="793" t="s">
        <v>48</v>
      </c>
      <c r="E115" s="794"/>
      <c r="F115" s="40"/>
      <c r="G115" s="504" t="s">
        <v>49</v>
      </c>
      <c r="H115" s="68" t="s">
        <v>4</v>
      </c>
      <c r="I115" s="795" t="s">
        <v>50</v>
      </c>
      <c r="J115" s="796"/>
    </row>
    <row r="116" spans="1:10" ht="15" customHeight="1">
      <c r="A116" s="797" t="s">
        <v>51</v>
      </c>
      <c r="B116" s="798" t="s">
        <v>52</v>
      </c>
      <c r="C116" s="798" t="s">
        <v>53</v>
      </c>
      <c r="D116" s="799" t="s">
        <v>54</v>
      </c>
      <c r="E116" s="801" t="s">
        <v>55</v>
      </c>
      <c r="F116" s="802"/>
      <c r="G116" s="803"/>
      <c r="H116" s="801" t="s">
        <v>56</v>
      </c>
      <c r="I116" s="802"/>
      <c r="J116" s="804"/>
    </row>
    <row r="117" spans="1:10" ht="15">
      <c r="A117" s="765"/>
      <c r="B117" s="767"/>
      <c r="C117" s="767"/>
      <c r="D117" s="800"/>
      <c r="E117" s="506" t="s">
        <v>57</v>
      </c>
      <c r="F117" s="506" t="s">
        <v>58</v>
      </c>
      <c r="G117" s="506" t="s">
        <v>59</v>
      </c>
      <c r="H117" s="506" t="s">
        <v>58</v>
      </c>
      <c r="I117" s="506" t="s">
        <v>59</v>
      </c>
      <c r="J117" s="41" t="s">
        <v>60</v>
      </c>
    </row>
    <row r="118" spans="1:10" ht="22.5">
      <c r="A118" s="56" t="s">
        <v>40</v>
      </c>
      <c r="B118" s="44" t="s">
        <v>369</v>
      </c>
      <c r="C118" s="42" t="s">
        <v>665</v>
      </c>
      <c r="D118" s="49"/>
      <c r="E118" s="510">
        <v>1</v>
      </c>
      <c r="F118" s="510">
        <v>0.2</v>
      </c>
      <c r="G118" s="510">
        <v>0.8</v>
      </c>
      <c r="H118" s="510">
        <v>138.976</v>
      </c>
      <c r="I118" s="510">
        <v>66.3112</v>
      </c>
      <c r="J118" s="43">
        <f>ROUND(E118*(F118*H118)+(G118*I118),2)</f>
        <v>80.84</v>
      </c>
    </row>
    <row r="119" spans="1:10" ht="15">
      <c r="A119" s="56" t="s">
        <v>40</v>
      </c>
      <c r="B119" s="44" t="s">
        <v>370</v>
      </c>
      <c r="C119" s="42" t="s">
        <v>666</v>
      </c>
      <c r="D119" s="49"/>
      <c r="E119" s="510">
        <v>1</v>
      </c>
      <c r="F119" s="510">
        <v>0.2</v>
      </c>
      <c r="G119" s="510">
        <v>0.8</v>
      </c>
      <c r="H119" s="510">
        <v>322.9134</v>
      </c>
      <c r="I119" s="510">
        <v>75.7395</v>
      </c>
      <c r="J119" s="43">
        <f>ROUND(E119*(F119*H119)+(G119*I119),2)</f>
        <v>125.17</v>
      </c>
    </row>
    <row r="120" spans="1:10" ht="15">
      <c r="A120" s="779" t="s">
        <v>61</v>
      </c>
      <c r="B120" s="780"/>
      <c r="C120" s="780"/>
      <c r="D120" s="780"/>
      <c r="E120" s="780"/>
      <c r="F120" s="780"/>
      <c r="G120" s="780"/>
      <c r="H120" s="780"/>
      <c r="I120" s="755"/>
      <c r="J120" s="45">
        <f>SUM(J118:J119)</f>
        <v>206.01</v>
      </c>
    </row>
    <row r="121" spans="1:10" ht="22.5">
      <c r="A121" s="46" t="s">
        <v>51</v>
      </c>
      <c r="B121" s="47" t="s">
        <v>52</v>
      </c>
      <c r="C121" s="505" t="s">
        <v>62</v>
      </c>
      <c r="D121" s="505" t="s">
        <v>63</v>
      </c>
      <c r="E121" s="505" t="s">
        <v>19</v>
      </c>
      <c r="F121" s="270" t="s">
        <v>64</v>
      </c>
      <c r="G121" s="270" t="s">
        <v>65</v>
      </c>
      <c r="H121" s="781" t="s">
        <v>66</v>
      </c>
      <c r="I121" s="782"/>
      <c r="J121" s="48" t="s">
        <v>67</v>
      </c>
    </row>
    <row r="122" spans="1:10" ht="15">
      <c r="A122" s="75" t="s">
        <v>14</v>
      </c>
      <c r="B122" s="76">
        <v>20067</v>
      </c>
      <c r="C122" s="42" t="s">
        <v>667</v>
      </c>
      <c r="D122" s="49" t="s">
        <v>150</v>
      </c>
      <c r="E122" s="509">
        <v>0.2</v>
      </c>
      <c r="F122" s="510">
        <v>12.97</v>
      </c>
      <c r="G122" s="165">
        <v>1.5727000000000002</v>
      </c>
      <c r="H122" s="813">
        <f>F122*(1+G122)</f>
        <v>33.36791900000001</v>
      </c>
      <c r="I122" s="813"/>
      <c r="J122" s="50">
        <f>ROUND(H122*E122,2)</f>
        <v>6.67</v>
      </c>
    </row>
    <row r="123" spans="1:10" ht="15">
      <c r="A123" s="77" t="s">
        <v>40</v>
      </c>
      <c r="B123" s="78" t="s">
        <v>177</v>
      </c>
      <c r="C123" s="42" t="s">
        <v>642</v>
      </c>
      <c r="D123" s="49" t="s">
        <v>150</v>
      </c>
      <c r="E123" s="376">
        <v>2.2</v>
      </c>
      <c r="F123" s="510">
        <v>5.6365</v>
      </c>
      <c r="G123" s="165">
        <v>2.219401</v>
      </c>
      <c r="H123" s="814">
        <f>F123*(1+G123)</f>
        <v>18.1461537365</v>
      </c>
      <c r="I123" s="815"/>
      <c r="J123" s="51">
        <f>ROUND(H123*E123,2)</f>
        <v>39.92</v>
      </c>
    </row>
    <row r="124" spans="1:10" ht="15">
      <c r="A124" s="754" t="s">
        <v>68</v>
      </c>
      <c r="B124" s="755"/>
      <c r="C124" s="756"/>
      <c r="D124" s="756"/>
      <c r="E124" s="756"/>
      <c r="F124" s="756"/>
      <c r="G124" s="756"/>
      <c r="H124" s="756"/>
      <c r="I124" s="756"/>
      <c r="J124" s="52">
        <f>SUM(J122:J123)</f>
        <v>46.59</v>
      </c>
    </row>
    <row r="125" spans="1:10" ht="15">
      <c r="A125" s="816" t="s">
        <v>69</v>
      </c>
      <c r="B125" s="817"/>
      <c r="C125" s="817"/>
      <c r="D125" s="817"/>
      <c r="E125" s="817"/>
      <c r="F125" s="817"/>
      <c r="G125" s="817"/>
      <c r="H125" s="817"/>
      <c r="I125" s="79">
        <v>0.05</v>
      </c>
      <c r="J125" s="53">
        <f>ROUND(J124*I125,2)</f>
        <v>2.33</v>
      </c>
    </row>
    <row r="126" spans="1:10" ht="15">
      <c r="A126" s="810" t="s">
        <v>70</v>
      </c>
      <c r="B126" s="811"/>
      <c r="C126" s="812"/>
      <c r="D126" s="812"/>
      <c r="E126" s="812"/>
      <c r="F126" s="812"/>
      <c r="G126" s="812"/>
      <c r="H126" s="812"/>
      <c r="I126" s="812"/>
      <c r="J126" s="80">
        <v>13</v>
      </c>
    </row>
    <row r="127" spans="1:10" ht="15">
      <c r="A127" s="754" t="s">
        <v>71</v>
      </c>
      <c r="B127" s="755"/>
      <c r="C127" s="756"/>
      <c r="D127" s="756"/>
      <c r="E127" s="756"/>
      <c r="F127" s="756"/>
      <c r="G127" s="756"/>
      <c r="H127" s="756"/>
      <c r="I127" s="756"/>
      <c r="J127" s="54">
        <f>ROUND((J120+J124+J125)/J126,2)</f>
        <v>19.61</v>
      </c>
    </row>
    <row r="128" spans="1:10" ht="15">
      <c r="A128" s="46" t="s">
        <v>51</v>
      </c>
      <c r="B128" s="47" t="s">
        <v>52</v>
      </c>
      <c r="C128" s="505" t="s">
        <v>72</v>
      </c>
      <c r="D128" s="505" t="s">
        <v>63</v>
      </c>
      <c r="E128" s="769" t="s">
        <v>73</v>
      </c>
      <c r="F128" s="769"/>
      <c r="G128" s="769"/>
      <c r="H128" s="769" t="s">
        <v>74</v>
      </c>
      <c r="I128" s="769"/>
      <c r="J128" s="508" t="s">
        <v>60</v>
      </c>
    </row>
    <row r="129" spans="1:10" ht="15">
      <c r="A129" s="56" t="s">
        <v>14</v>
      </c>
      <c r="B129" s="44">
        <v>10111</v>
      </c>
      <c r="C129" s="42" t="s">
        <v>670</v>
      </c>
      <c r="D129" s="49" t="s">
        <v>563</v>
      </c>
      <c r="E129" s="760">
        <v>1</v>
      </c>
      <c r="F129" s="761"/>
      <c r="G129" s="761"/>
      <c r="H129" s="774">
        <v>50</v>
      </c>
      <c r="I129" s="775"/>
      <c r="J129" s="55">
        <f>ROUND(H129*E129,2)</f>
        <v>50</v>
      </c>
    </row>
    <row r="130" spans="1:10" ht="15">
      <c r="A130" s="754" t="s">
        <v>75</v>
      </c>
      <c r="B130" s="755"/>
      <c r="C130" s="756"/>
      <c r="D130" s="756"/>
      <c r="E130" s="756"/>
      <c r="F130" s="756"/>
      <c r="G130" s="756"/>
      <c r="H130" s="756"/>
      <c r="I130" s="756"/>
      <c r="J130" s="54">
        <f>SUM(J129:J129)</f>
        <v>50</v>
      </c>
    </row>
    <row r="131" spans="1:10" ht="15">
      <c r="A131" s="46" t="s">
        <v>51</v>
      </c>
      <c r="B131" s="47" t="s">
        <v>52</v>
      </c>
      <c r="C131" s="505" t="s">
        <v>76</v>
      </c>
      <c r="D131" s="505" t="s">
        <v>63</v>
      </c>
      <c r="E131" s="769" t="s">
        <v>73</v>
      </c>
      <c r="F131" s="769"/>
      <c r="G131" s="769"/>
      <c r="H131" s="769" t="s">
        <v>74</v>
      </c>
      <c r="I131" s="769"/>
      <c r="J131" s="508" t="s">
        <v>60</v>
      </c>
    </row>
    <row r="132" spans="1:10" ht="15">
      <c r="A132" s="56"/>
      <c r="B132" s="49"/>
      <c r="C132" s="42"/>
      <c r="D132" s="49"/>
      <c r="E132" s="760"/>
      <c r="F132" s="761"/>
      <c r="G132" s="807"/>
      <c r="H132" s="808"/>
      <c r="I132" s="809"/>
      <c r="J132" s="50"/>
    </row>
    <row r="133" spans="1:10" ht="15">
      <c r="A133" s="754" t="s">
        <v>77</v>
      </c>
      <c r="B133" s="755"/>
      <c r="C133" s="756"/>
      <c r="D133" s="756"/>
      <c r="E133" s="756"/>
      <c r="F133" s="756"/>
      <c r="G133" s="756"/>
      <c r="H133" s="756"/>
      <c r="I133" s="756"/>
      <c r="J133" s="54">
        <f>SUM(J132:J132)</f>
        <v>0</v>
      </c>
    </row>
    <row r="134" spans="1:10" ht="15">
      <c r="A134" s="46" t="s">
        <v>51</v>
      </c>
      <c r="B134" s="47" t="s">
        <v>52</v>
      </c>
      <c r="C134" s="505" t="s">
        <v>78</v>
      </c>
      <c r="D134" s="505" t="s">
        <v>63</v>
      </c>
      <c r="E134" s="769" t="s">
        <v>73</v>
      </c>
      <c r="F134" s="769"/>
      <c r="G134" s="769"/>
      <c r="H134" s="769" t="s">
        <v>74</v>
      </c>
      <c r="I134" s="769"/>
      <c r="J134" s="508" t="s">
        <v>60</v>
      </c>
    </row>
    <row r="135" spans="1:10" ht="15">
      <c r="A135" s="56"/>
      <c r="B135" s="44"/>
      <c r="C135" s="42"/>
      <c r="D135" s="49"/>
      <c r="E135" s="760"/>
      <c r="F135" s="761"/>
      <c r="G135" s="761"/>
      <c r="H135" s="762"/>
      <c r="I135" s="763"/>
      <c r="J135" s="59"/>
    </row>
    <row r="136" spans="1:10" ht="15">
      <c r="A136" s="754" t="s">
        <v>79</v>
      </c>
      <c r="B136" s="755"/>
      <c r="C136" s="756"/>
      <c r="D136" s="756"/>
      <c r="E136" s="756"/>
      <c r="F136" s="756"/>
      <c r="G136" s="756"/>
      <c r="H136" s="756"/>
      <c r="I136" s="756"/>
      <c r="J136" s="54">
        <f>SUM(J135)</f>
        <v>0</v>
      </c>
    </row>
    <row r="137" spans="1:10" ht="15">
      <c r="A137" s="764" t="s">
        <v>51</v>
      </c>
      <c r="B137" s="766" t="s">
        <v>52</v>
      </c>
      <c r="C137" s="767" t="s">
        <v>80</v>
      </c>
      <c r="D137" s="769" t="s">
        <v>81</v>
      </c>
      <c r="E137" s="769"/>
      <c r="F137" s="769" t="s">
        <v>82</v>
      </c>
      <c r="G137" s="769"/>
      <c r="H137" s="769" t="s">
        <v>74</v>
      </c>
      <c r="I137" s="769"/>
      <c r="J137" s="749" t="s">
        <v>60</v>
      </c>
    </row>
    <row r="138" spans="1:10" ht="15">
      <c r="A138" s="765"/>
      <c r="B138" s="767"/>
      <c r="C138" s="768"/>
      <c r="D138" s="507" t="s">
        <v>83</v>
      </c>
      <c r="E138" s="507" t="s">
        <v>84</v>
      </c>
      <c r="F138" s="770"/>
      <c r="G138" s="770"/>
      <c r="H138" s="770"/>
      <c r="I138" s="770"/>
      <c r="J138" s="750"/>
    </row>
    <row r="139" spans="1:10" ht="33.75">
      <c r="A139" s="56" t="s">
        <v>40</v>
      </c>
      <c r="B139" s="60" t="s">
        <v>294</v>
      </c>
      <c r="C139" s="61" t="s">
        <v>371</v>
      </c>
      <c r="D139" s="62"/>
      <c r="E139" s="62"/>
      <c r="F139" s="751">
        <v>1.5</v>
      </c>
      <c r="G139" s="752"/>
      <c r="H139" s="753">
        <v>0</v>
      </c>
      <c r="I139" s="753"/>
      <c r="J139" s="55">
        <f>ROUND(H139*F139,2)</f>
        <v>0</v>
      </c>
    </row>
    <row r="140" spans="1:10" ht="15.75" thickBot="1">
      <c r="A140" s="754" t="s">
        <v>85</v>
      </c>
      <c r="B140" s="755"/>
      <c r="C140" s="756"/>
      <c r="D140" s="756"/>
      <c r="E140" s="756"/>
      <c r="F140" s="756"/>
      <c r="G140" s="756"/>
      <c r="H140" s="756"/>
      <c r="I140" s="756"/>
      <c r="J140" s="54">
        <f>SUM(J139:J139)</f>
        <v>0</v>
      </c>
    </row>
    <row r="141" spans="1:10" ht="15.75" thickBot="1">
      <c r="A141" s="757" t="s">
        <v>86</v>
      </c>
      <c r="B141" s="758"/>
      <c r="C141" s="759"/>
      <c r="D141" s="759"/>
      <c r="E141" s="759"/>
      <c r="F141" s="759"/>
      <c r="G141" s="759"/>
      <c r="H141" s="759"/>
      <c r="I141" s="759"/>
      <c r="J141" s="407">
        <f>J127+J130+J133+J140+J136</f>
        <v>69.61</v>
      </c>
    </row>
    <row r="142" spans="1:12" ht="15">
      <c r="A142" s="157" t="s">
        <v>45</v>
      </c>
      <c r="B142" s="158">
        <v>33001</v>
      </c>
      <c r="C142" s="788" t="s">
        <v>151</v>
      </c>
      <c r="D142" s="789"/>
      <c r="E142" s="789"/>
      <c r="F142" s="789"/>
      <c r="G142" s="789"/>
      <c r="H142" s="789"/>
      <c r="I142" s="789"/>
      <c r="J142" s="790"/>
      <c r="K142" t="str">
        <f>H143</f>
        <v>m²</v>
      </c>
      <c r="L142" s="416">
        <f>J170</f>
        <v>1.21</v>
      </c>
    </row>
    <row r="143" spans="1:10" ht="15.75" thickBot="1">
      <c r="A143" s="852" t="s">
        <v>47</v>
      </c>
      <c r="B143" s="853"/>
      <c r="C143" s="82" t="s">
        <v>350</v>
      </c>
      <c r="D143" s="854" t="s">
        <v>48</v>
      </c>
      <c r="E143" s="855"/>
      <c r="F143" s="159"/>
      <c r="G143" s="405" t="s">
        <v>49</v>
      </c>
      <c r="H143" s="160" t="s">
        <v>146</v>
      </c>
      <c r="I143" s="795" t="s">
        <v>50</v>
      </c>
      <c r="J143" s="796"/>
    </row>
    <row r="144" spans="1:10" ht="15">
      <c r="A144" s="842" t="s">
        <v>51</v>
      </c>
      <c r="B144" s="844" t="s">
        <v>52</v>
      </c>
      <c r="C144" s="844" t="s">
        <v>53</v>
      </c>
      <c r="D144" s="846" t="s">
        <v>54</v>
      </c>
      <c r="E144" s="848" t="s">
        <v>55</v>
      </c>
      <c r="F144" s="849"/>
      <c r="G144" s="850"/>
      <c r="H144" s="848" t="s">
        <v>56</v>
      </c>
      <c r="I144" s="849"/>
      <c r="J144" s="851"/>
    </row>
    <row r="145" spans="1:10" ht="24.75" customHeight="1">
      <c r="A145" s="843"/>
      <c r="B145" s="845"/>
      <c r="C145" s="845"/>
      <c r="D145" s="847"/>
      <c r="E145" s="169" t="s">
        <v>57</v>
      </c>
      <c r="F145" s="169" t="s">
        <v>58</v>
      </c>
      <c r="G145" s="169" t="s">
        <v>59</v>
      </c>
      <c r="H145" s="169" t="s">
        <v>58</v>
      </c>
      <c r="I145" s="169" t="s">
        <v>59</v>
      </c>
      <c r="J145" s="170" t="s">
        <v>60</v>
      </c>
    </row>
    <row r="146" spans="1:10" ht="15">
      <c r="A146" s="171" t="s">
        <v>40</v>
      </c>
      <c r="B146" s="172" t="s">
        <v>155</v>
      </c>
      <c r="C146" s="161" t="s">
        <v>646</v>
      </c>
      <c r="D146" s="162"/>
      <c r="E146" s="141">
        <v>1</v>
      </c>
      <c r="F146" s="141">
        <v>0.41</v>
      </c>
      <c r="G146" s="141">
        <v>0.59</v>
      </c>
      <c r="H146" s="406">
        <v>10.7485</v>
      </c>
      <c r="I146" s="406">
        <v>6.9214</v>
      </c>
      <c r="J146" s="163">
        <f>ROUND(E146*(F146*H146)+(G146*I146),2)</f>
        <v>8.49</v>
      </c>
    </row>
    <row r="147" spans="1:10" ht="15">
      <c r="A147" s="173" t="s">
        <v>40</v>
      </c>
      <c r="B147" s="174" t="s">
        <v>154</v>
      </c>
      <c r="C147" s="161" t="s">
        <v>647</v>
      </c>
      <c r="D147" s="162"/>
      <c r="E147" s="141">
        <v>1</v>
      </c>
      <c r="F147" s="141">
        <v>0.41</v>
      </c>
      <c r="G147" s="141">
        <v>0.59</v>
      </c>
      <c r="H147" s="406">
        <v>120.9634</v>
      </c>
      <c r="I147" s="406">
        <v>34.6087</v>
      </c>
      <c r="J147" s="163">
        <f>ROUND(E147*(F147*H147)+(G147*I147),2)</f>
        <v>70.01</v>
      </c>
    </row>
    <row r="148" spans="1:10" ht="15">
      <c r="A148" s="175" t="s">
        <v>40</v>
      </c>
      <c r="B148" s="176" t="s">
        <v>156</v>
      </c>
      <c r="C148" s="161" t="s">
        <v>648</v>
      </c>
      <c r="D148" s="162"/>
      <c r="E148" s="141">
        <v>1</v>
      </c>
      <c r="F148" s="141">
        <v>0.41</v>
      </c>
      <c r="G148" s="141">
        <v>0.59</v>
      </c>
      <c r="H148" s="406">
        <v>114.2222</v>
      </c>
      <c r="I148" s="406">
        <v>21.0005</v>
      </c>
      <c r="J148" s="163">
        <f>ROUND(E148*(F148*H148)+(G148*I148),2)</f>
        <v>59.22</v>
      </c>
    </row>
    <row r="149" spans="1:10" ht="15">
      <c r="A149" s="779" t="s">
        <v>61</v>
      </c>
      <c r="B149" s="780"/>
      <c r="C149" s="780"/>
      <c r="D149" s="780"/>
      <c r="E149" s="780"/>
      <c r="F149" s="780"/>
      <c r="G149" s="780"/>
      <c r="H149" s="780"/>
      <c r="I149" s="755"/>
      <c r="J149" s="45">
        <f>SUM(J146:J148)</f>
        <v>137.72</v>
      </c>
    </row>
    <row r="150" spans="1:10" ht="22.5">
      <c r="A150" s="46" t="s">
        <v>51</v>
      </c>
      <c r="B150" s="47" t="s">
        <v>52</v>
      </c>
      <c r="C150" s="400" t="s">
        <v>62</v>
      </c>
      <c r="D150" s="400" t="s">
        <v>63</v>
      </c>
      <c r="E150" s="400" t="s">
        <v>19</v>
      </c>
      <c r="F150" s="270" t="s">
        <v>64</v>
      </c>
      <c r="G150" s="270" t="s">
        <v>65</v>
      </c>
      <c r="H150" s="781" t="s">
        <v>66</v>
      </c>
      <c r="I150" s="782"/>
      <c r="J150" s="48" t="s">
        <v>67</v>
      </c>
    </row>
    <row r="151" spans="1:10" ht="15">
      <c r="A151" s="164" t="s">
        <v>40</v>
      </c>
      <c r="B151" s="76" t="s">
        <v>176</v>
      </c>
      <c r="C151" s="42" t="s">
        <v>649</v>
      </c>
      <c r="D151" s="49" t="s">
        <v>20</v>
      </c>
      <c r="E151" s="273">
        <v>0.0045</v>
      </c>
      <c r="F151" s="35">
        <v>3796.6801</v>
      </c>
      <c r="G151" s="165">
        <v>1.064596</v>
      </c>
      <c r="H151" s="774">
        <f>F151*(1+G151)</f>
        <v>7838.6105477395995</v>
      </c>
      <c r="I151" s="775"/>
      <c r="J151" s="50">
        <f>ROUND(H151*E151,2)</f>
        <v>35.27</v>
      </c>
    </row>
    <row r="152" spans="1:10" ht="15">
      <c r="A152" s="56" t="s">
        <v>40</v>
      </c>
      <c r="B152" s="44" t="s">
        <v>177</v>
      </c>
      <c r="C152" s="42" t="s">
        <v>642</v>
      </c>
      <c r="D152" s="49" t="s">
        <v>150</v>
      </c>
      <c r="E152" s="376">
        <v>1</v>
      </c>
      <c r="F152" s="35">
        <v>5.6365</v>
      </c>
      <c r="G152" s="165">
        <v>2.219401</v>
      </c>
      <c r="H152" s="774">
        <f>F152*(1+G152)</f>
        <v>18.1461537365</v>
      </c>
      <c r="I152" s="775"/>
      <c r="J152" s="51">
        <f>ROUND(H152*E152,2)</f>
        <v>18.15</v>
      </c>
    </row>
    <row r="153" spans="1:10" ht="15">
      <c r="A153" s="754" t="s">
        <v>68</v>
      </c>
      <c r="B153" s="755"/>
      <c r="C153" s="756"/>
      <c r="D153" s="756"/>
      <c r="E153" s="756"/>
      <c r="F153" s="756"/>
      <c r="G153" s="756"/>
      <c r="H153" s="756"/>
      <c r="I153" s="756"/>
      <c r="J153" s="52">
        <f>SUM(J151:J152)</f>
        <v>53.42</v>
      </c>
    </row>
    <row r="154" spans="1:10" ht="15">
      <c r="A154" s="783" t="s">
        <v>69</v>
      </c>
      <c r="B154" s="784"/>
      <c r="C154" s="784"/>
      <c r="D154" s="784"/>
      <c r="E154" s="784"/>
      <c r="F154" s="784"/>
      <c r="G154" s="784"/>
      <c r="H154" s="784"/>
      <c r="I154" s="166">
        <v>0.05</v>
      </c>
      <c r="J154" s="167">
        <f>ROUND(J153*I154,2)</f>
        <v>2.67</v>
      </c>
    </row>
    <row r="155" spans="1:10" ht="15">
      <c r="A155" s="785" t="s">
        <v>70</v>
      </c>
      <c r="B155" s="786"/>
      <c r="C155" s="787"/>
      <c r="D155" s="787"/>
      <c r="E155" s="787"/>
      <c r="F155" s="787"/>
      <c r="G155" s="787"/>
      <c r="H155" s="787"/>
      <c r="I155" s="787"/>
      <c r="J155" s="168">
        <v>160</v>
      </c>
    </row>
    <row r="156" spans="1:10" ht="15">
      <c r="A156" s="754" t="s">
        <v>71</v>
      </c>
      <c r="B156" s="755"/>
      <c r="C156" s="756"/>
      <c r="D156" s="756"/>
      <c r="E156" s="756"/>
      <c r="F156" s="756"/>
      <c r="G156" s="756"/>
      <c r="H156" s="756"/>
      <c r="I156" s="756"/>
      <c r="J156" s="54">
        <f>ROUND((J149+J153+J154)/J155,2)</f>
        <v>1.21</v>
      </c>
    </row>
    <row r="157" spans="1:10" ht="15">
      <c r="A157" s="46" t="s">
        <v>51</v>
      </c>
      <c r="B157" s="47" t="s">
        <v>52</v>
      </c>
      <c r="C157" s="400" t="s">
        <v>72</v>
      </c>
      <c r="D157" s="400" t="s">
        <v>63</v>
      </c>
      <c r="E157" s="769" t="s">
        <v>73</v>
      </c>
      <c r="F157" s="769"/>
      <c r="G157" s="769"/>
      <c r="H157" s="769" t="s">
        <v>74</v>
      </c>
      <c r="I157" s="769"/>
      <c r="J157" s="403" t="s">
        <v>60</v>
      </c>
    </row>
    <row r="158" spans="1:10" ht="15">
      <c r="A158" s="56"/>
      <c r="B158" s="57"/>
      <c r="C158" s="42"/>
      <c r="D158" s="49"/>
      <c r="E158" s="771"/>
      <c r="F158" s="772"/>
      <c r="G158" s="773"/>
      <c r="H158" s="774"/>
      <c r="I158" s="775"/>
      <c r="J158" s="55"/>
    </row>
    <row r="159" spans="1:10" ht="15">
      <c r="A159" s="754" t="s">
        <v>75</v>
      </c>
      <c r="B159" s="755"/>
      <c r="C159" s="756"/>
      <c r="D159" s="756"/>
      <c r="E159" s="756"/>
      <c r="F159" s="756"/>
      <c r="G159" s="756"/>
      <c r="H159" s="756"/>
      <c r="I159" s="756"/>
      <c r="J159" s="54">
        <f>SUM(J158:J158)</f>
        <v>0</v>
      </c>
    </row>
    <row r="160" spans="1:10" ht="15">
      <c r="A160" s="46" t="s">
        <v>51</v>
      </c>
      <c r="B160" s="47" t="s">
        <v>52</v>
      </c>
      <c r="C160" s="400" t="s">
        <v>76</v>
      </c>
      <c r="D160" s="400" t="s">
        <v>63</v>
      </c>
      <c r="E160" s="769" t="s">
        <v>73</v>
      </c>
      <c r="F160" s="769"/>
      <c r="G160" s="769"/>
      <c r="H160" s="769" t="s">
        <v>74</v>
      </c>
      <c r="I160" s="769"/>
      <c r="J160" s="403" t="s">
        <v>60</v>
      </c>
    </row>
    <row r="161" spans="1:10" ht="15">
      <c r="A161" s="56"/>
      <c r="B161" s="44"/>
      <c r="C161" s="42"/>
      <c r="D161" s="49"/>
      <c r="E161" s="771"/>
      <c r="F161" s="772"/>
      <c r="G161" s="773"/>
      <c r="H161" s="774"/>
      <c r="I161" s="775"/>
      <c r="J161" s="58"/>
    </row>
    <row r="162" spans="1:10" ht="15">
      <c r="A162" s="754" t="s">
        <v>77</v>
      </c>
      <c r="B162" s="755"/>
      <c r="C162" s="756"/>
      <c r="D162" s="756"/>
      <c r="E162" s="756"/>
      <c r="F162" s="756"/>
      <c r="G162" s="756"/>
      <c r="H162" s="756"/>
      <c r="I162" s="756"/>
      <c r="J162" s="54">
        <f>SUM(J161:J161)</f>
        <v>0</v>
      </c>
    </row>
    <row r="163" spans="1:10" ht="15">
      <c r="A163" s="46" t="s">
        <v>51</v>
      </c>
      <c r="B163" s="47" t="s">
        <v>52</v>
      </c>
      <c r="C163" s="400" t="s">
        <v>78</v>
      </c>
      <c r="D163" s="400" t="s">
        <v>63</v>
      </c>
      <c r="E163" s="769" t="s">
        <v>73</v>
      </c>
      <c r="F163" s="769"/>
      <c r="G163" s="769"/>
      <c r="H163" s="769" t="s">
        <v>74</v>
      </c>
      <c r="I163" s="769"/>
      <c r="J163" s="403" t="s">
        <v>60</v>
      </c>
    </row>
    <row r="164" spans="1:10" ht="15">
      <c r="A164" s="56"/>
      <c r="B164" s="44"/>
      <c r="C164" s="42"/>
      <c r="D164" s="49"/>
      <c r="E164" s="760"/>
      <c r="F164" s="761"/>
      <c r="G164" s="761"/>
      <c r="H164" s="762"/>
      <c r="I164" s="763"/>
      <c r="J164" s="59"/>
    </row>
    <row r="165" spans="1:10" ht="15">
      <c r="A165" s="754" t="s">
        <v>79</v>
      </c>
      <c r="B165" s="755"/>
      <c r="C165" s="756"/>
      <c r="D165" s="756"/>
      <c r="E165" s="756"/>
      <c r="F165" s="756"/>
      <c r="G165" s="756"/>
      <c r="H165" s="756"/>
      <c r="I165" s="756"/>
      <c r="J165" s="54">
        <f>SUM(J164)</f>
        <v>0</v>
      </c>
    </row>
    <row r="166" spans="1:10" ht="15">
      <c r="A166" s="764" t="s">
        <v>51</v>
      </c>
      <c r="B166" s="766" t="s">
        <v>52</v>
      </c>
      <c r="C166" s="767" t="s">
        <v>80</v>
      </c>
      <c r="D166" s="769" t="s">
        <v>81</v>
      </c>
      <c r="E166" s="769"/>
      <c r="F166" s="769" t="s">
        <v>82</v>
      </c>
      <c r="G166" s="769"/>
      <c r="H166" s="769" t="s">
        <v>74</v>
      </c>
      <c r="I166" s="769"/>
      <c r="J166" s="749" t="s">
        <v>60</v>
      </c>
    </row>
    <row r="167" spans="1:10" ht="15">
      <c r="A167" s="765"/>
      <c r="B167" s="767"/>
      <c r="C167" s="768"/>
      <c r="D167" s="402" t="s">
        <v>83</v>
      </c>
      <c r="E167" s="402" t="s">
        <v>84</v>
      </c>
      <c r="F167" s="770"/>
      <c r="G167" s="770"/>
      <c r="H167" s="770"/>
      <c r="I167" s="770"/>
      <c r="J167" s="750"/>
    </row>
    <row r="168" spans="1:10" ht="15">
      <c r="A168" s="56"/>
      <c r="B168" s="60"/>
      <c r="C168" s="61"/>
      <c r="D168" s="62"/>
      <c r="E168" s="62"/>
      <c r="F168" s="751"/>
      <c r="G168" s="752"/>
      <c r="H168" s="753"/>
      <c r="I168" s="753"/>
      <c r="J168" s="55"/>
    </row>
    <row r="169" spans="1:10" ht="15.75" thickBot="1">
      <c r="A169" s="754" t="s">
        <v>85</v>
      </c>
      <c r="B169" s="755"/>
      <c r="C169" s="756"/>
      <c r="D169" s="756"/>
      <c r="E169" s="756"/>
      <c r="F169" s="756"/>
      <c r="G169" s="756"/>
      <c r="H169" s="756"/>
      <c r="I169" s="756"/>
      <c r="J169" s="54">
        <f>SUM(J168:J168)</f>
        <v>0</v>
      </c>
    </row>
    <row r="170" spans="1:10" ht="15.75" thickBot="1">
      <c r="A170" s="757" t="s">
        <v>86</v>
      </c>
      <c r="B170" s="758"/>
      <c r="C170" s="759"/>
      <c r="D170" s="759"/>
      <c r="E170" s="759"/>
      <c r="F170" s="759"/>
      <c r="G170" s="759"/>
      <c r="H170" s="759"/>
      <c r="I170" s="759"/>
      <c r="J170" s="407">
        <f>J156+J159+J162+J169+J165</f>
        <v>1.21</v>
      </c>
    </row>
    <row r="171" spans="1:12" ht="24.75" customHeight="1">
      <c r="A171" s="39" t="s">
        <v>45</v>
      </c>
      <c r="B171" s="601">
        <v>61001</v>
      </c>
      <c r="C171" s="788" t="s">
        <v>521</v>
      </c>
      <c r="D171" s="789"/>
      <c r="E171" s="789"/>
      <c r="F171" s="789"/>
      <c r="G171" s="789"/>
      <c r="H171" s="789"/>
      <c r="I171" s="789"/>
      <c r="J171" s="790"/>
      <c r="K171" t="str">
        <f>H172</f>
        <v>und</v>
      </c>
      <c r="L171" s="274">
        <f>J231</f>
        <v>3614.5699999999997</v>
      </c>
    </row>
    <row r="172" spans="1:10" ht="23.25" thickBot="1">
      <c r="A172" s="791" t="s">
        <v>47</v>
      </c>
      <c r="B172" s="792"/>
      <c r="C172" s="82" t="s">
        <v>522</v>
      </c>
      <c r="D172" s="793" t="s">
        <v>48</v>
      </c>
      <c r="E172" s="794"/>
      <c r="F172" s="40" t="s">
        <v>523</v>
      </c>
      <c r="G172" s="561" t="s">
        <v>49</v>
      </c>
      <c r="H172" s="160" t="s">
        <v>148</v>
      </c>
      <c r="I172" s="795"/>
      <c r="J172" s="796"/>
    </row>
    <row r="173" spans="1:10" ht="15">
      <c r="A173" s="797" t="s">
        <v>51</v>
      </c>
      <c r="B173" s="798" t="s">
        <v>52</v>
      </c>
      <c r="C173" s="798" t="s">
        <v>53</v>
      </c>
      <c r="D173" s="799" t="s">
        <v>54</v>
      </c>
      <c r="E173" s="801" t="s">
        <v>55</v>
      </c>
      <c r="F173" s="802"/>
      <c r="G173" s="803"/>
      <c r="H173" s="801" t="s">
        <v>56</v>
      </c>
      <c r="I173" s="802"/>
      <c r="J173" s="804"/>
    </row>
    <row r="174" spans="1:10" ht="15">
      <c r="A174" s="765"/>
      <c r="B174" s="767"/>
      <c r="C174" s="767"/>
      <c r="D174" s="800"/>
      <c r="E174" s="560" t="s">
        <v>57</v>
      </c>
      <c r="F174" s="560" t="s">
        <v>58</v>
      </c>
      <c r="G174" s="560" t="s">
        <v>59</v>
      </c>
      <c r="H174" s="560" t="s">
        <v>58</v>
      </c>
      <c r="I174" s="560" t="s">
        <v>59</v>
      </c>
      <c r="J174" s="41" t="s">
        <v>60</v>
      </c>
    </row>
    <row r="175" spans="1:10" ht="22.5">
      <c r="A175" s="581" t="s">
        <v>436</v>
      </c>
      <c r="B175" s="589">
        <v>80125</v>
      </c>
      <c r="C175" s="161" t="s">
        <v>650</v>
      </c>
      <c r="D175" s="162" t="s">
        <v>150</v>
      </c>
      <c r="E175" s="590">
        <v>0.044982</v>
      </c>
      <c r="F175" s="590">
        <v>1</v>
      </c>
      <c r="G175" s="590">
        <v>0</v>
      </c>
      <c r="H175" s="162">
        <v>39.72</v>
      </c>
      <c r="I175" s="162">
        <v>14.05</v>
      </c>
      <c r="J175" s="163">
        <f>ROUND(E175*(F175*H175)+(G175*I175),2)</f>
        <v>1.79</v>
      </c>
    </row>
    <row r="176" spans="1:10" ht="22.5">
      <c r="A176" s="581" t="s">
        <v>436</v>
      </c>
      <c r="B176" s="589">
        <v>86049</v>
      </c>
      <c r="C176" s="161" t="s">
        <v>651</v>
      </c>
      <c r="D176" s="162" t="s">
        <v>150</v>
      </c>
      <c r="E176" s="590">
        <v>0.018592</v>
      </c>
      <c r="F176" s="590">
        <v>1</v>
      </c>
      <c r="G176" s="590">
        <v>0</v>
      </c>
      <c r="H176" s="162">
        <v>159.26</v>
      </c>
      <c r="I176" s="162">
        <v>11.57</v>
      </c>
      <c r="J176" s="163">
        <f>ROUND(E176*(F176*H176)+(G176*I176),2)</f>
        <v>2.96</v>
      </c>
    </row>
    <row r="177" spans="1:10" ht="22.5">
      <c r="A177" s="581" t="s">
        <v>436</v>
      </c>
      <c r="B177" s="589">
        <v>86030</v>
      </c>
      <c r="C177" s="161" t="s">
        <v>652</v>
      </c>
      <c r="D177" s="162" t="s">
        <v>150</v>
      </c>
      <c r="E177" s="590">
        <v>0.000832</v>
      </c>
      <c r="F177" s="590">
        <v>1</v>
      </c>
      <c r="G177" s="590">
        <v>0</v>
      </c>
      <c r="H177" s="162">
        <v>130.65</v>
      </c>
      <c r="I177" s="162">
        <v>14.05</v>
      </c>
      <c r="J177" s="163">
        <f>ROUND(E177*(F177*H177)+(G177*I177),2)</f>
        <v>0.11</v>
      </c>
    </row>
    <row r="178" spans="1:10" ht="22.5">
      <c r="A178" s="581" t="s">
        <v>436</v>
      </c>
      <c r="B178" s="44">
        <v>80170</v>
      </c>
      <c r="C178" s="42" t="s">
        <v>653</v>
      </c>
      <c r="D178" s="562" t="s">
        <v>150</v>
      </c>
      <c r="E178" s="591">
        <v>1.8</v>
      </c>
      <c r="F178" s="591">
        <v>1</v>
      </c>
      <c r="G178" s="591">
        <v>0</v>
      </c>
      <c r="H178" s="562">
        <v>226.41</v>
      </c>
      <c r="I178" s="562">
        <v>11.57</v>
      </c>
      <c r="J178" s="43">
        <f>ROUND(E178*(F178*H178)+(G178*I178),2)</f>
        <v>407.54</v>
      </c>
    </row>
    <row r="179" spans="1:10" ht="15">
      <c r="A179" s="779" t="s">
        <v>61</v>
      </c>
      <c r="B179" s="780"/>
      <c r="C179" s="780"/>
      <c r="D179" s="780"/>
      <c r="E179" s="780"/>
      <c r="F179" s="780"/>
      <c r="G179" s="780"/>
      <c r="H179" s="780"/>
      <c r="I179" s="755"/>
      <c r="J179" s="45">
        <f>SUM(J175:J178)</f>
        <v>412.40000000000003</v>
      </c>
    </row>
    <row r="180" spans="1:10" ht="22.5">
      <c r="A180" s="46" t="s">
        <v>51</v>
      </c>
      <c r="B180" s="47" t="s">
        <v>52</v>
      </c>
      <c r="C180" s="557" t="s">
        <v>62</v>
      </c>
      <c r="D180" s="557" t="s">
        <v>63</v>
      </c>
      <c r="E180" s="557" t="s">
        <v>19</v>
      </c>
      <c r="F180" s="270" t="s">
        <v>64</v>
      </c>
      <c r="G180" s="270" t="s">
        <v>65</v>
      </c>
      <c r="H180" s="781" t="s">
        <v>66</v>
      </c>
      <c r="I180" s="782"/>
      <c r="J180" s="48" t="s">
        <v>67</v>
      </c>
    </row>
    <row r="181" spans="1:10" ht="22.5">
      <c r="A181" s="581" t="s">
        <v>436</v>
      </c>
      <c r="B181" s="589">
        <v>10101</v>
      </c>
      <c r="C181" s="42" t="s">
        <v>654</v>
      </c>
      <c r="D181" s="49" t="s">
        <v>655</v>
      </c>
      <c r="E181" s="592">
        <v>21.7</v>
      </c>
      <c r="F181" s="593">
        <v>6.27</v>
      </c>
      <c r="G181" s="594">
        <v>1.5727</v>
      </c>
      <c r="H181" s="805">
        <f>F181*(1+G181)</f>
        <v>16.130829</v>
      </c>
      <c r="I181" s="806"/>
      <c r="J181" s="83">
        <f>ROUND(H181*E181,2)</f>
        <v>350.04</v>
      </c>
    </row>
    <row r="182" spans="1:10" ht="22.5">
      <c r="A182" s="581" t="s">
        <v>436</v>
      </c>
      <c r="B182" s="589">
        <v>10115</v>
      </c>
      <c r="C182" s="42" t="s">
        <v>656</v>
      </c>
      <c r="D182" s="49" t="s">
        <v>655</v>
      </c>
      <c r="E182" s="162">
        <v>21</v>
      </c>
      <c r="F182" s="35">
        <v>7.43</v>
      </c>
      <c r="G182" s="165">
        <v>1.5727</v>
      </c>
      <c r="H182" s="774">
        <f>F182*(1+G182)</f>
        <v>19.115161</v>
      </c>
      <c r="I182" s="775"/>
      <c r="J182" s="84">
        <f>ROUND(H182*E182,2)</f>
        <v>401.42</v>
      </c>
    </row>
    <row r="183" spans="1:10" ht="22.5">
      <c r="A183" s="581" t="s">
        <v>436</v>
      </c>
      <c r="B183" s="589">
        <v>10111</v>
      </c>
      <c r="C183" s="42" t="s">
        <v>657</v>
      </c>
      <c r="D183" s="49" t="s">
        <v>655</v>
      </c>
      <c r="E183" s="162">
        <v>1.03</v>
      </c>
      <c r="F183" s="35">
        <v>7.43</v>
      </c>
      <c r="G183" s="165">
        <v>1.5727</v>
      </c>
      <c r="H183" s="774">
        <f>F183*(1+G183)</f>
        <v>19.115161</v>
      </c>
      <c r="I183" s="775"/>
      <c r="J183" s="84">
        <f>ROUND(H183*E183,2)</f>
        <v>19.69</v>
      </c>
    </row>
    <row r="184" spans="1:10" ht="22.5">
      <c r="A184" s="581" t="s">
        <v>436</v>
      </c>
      <c r="B184" s="589">
        <v>10139</v>
      </c>
      <c r="C184" s="42" t="s">
        <v>658</v>
      </c>
      <c r="D184" s="49" t="s">
        <v>655</v>
      </c>
      <c r="E184" s="162">
        <v>0.2</v>
      </c>
      <c r="F184" s="35">
        <v>7.43</v>
      </c>
      <c r="G184" s="165">
        <v>1.5727</v>
      </c>
      <c r="H184" s="774">
        <f>F184*(1+G184)</f>
        <v>19.115161</v>
      </c>
      <c r="I184" s="775"/>
      <c r="J184" s="84">
        <f>ROUND(H184*E184,2)</f>
        <v>3.82</v>
      </c>
    </row>
    <row r="185" spans="1:10" ht="22.5">
      <c r="A185" s="581" t="s">
        <v>436</v>
      </c>
      <c r="B185" s="44">
        <v>10146</v>
      </c>
      <c r="C185" s="42" t="s">
        <v>659</v>
      </c>
      <c r="D185" s="49" t="s">
        <v>655</v>
      </c>
      <c r="E185" s="595">
        <v>2.2</v>
      </c>
      <c r="F185" s="35">
        <v>5.51</v>
      </c>
      <c r="G185" s="165">
        <v>1.5727</v>
      </c>
      <c r="H185" s="774">
        <f>F185*(1+G185)</f>
        <v>14.175577</v>
      </c>
      <c r="I185" s="775"/>
      <c r="J185" s="86">
        <f>ROUND(H185*E185,2)</f>
        <v>31.19</v>
      </c>
    </row>
    <row r="186" spans="1:10" ht="15">
      <c r="A186" s="754" t="s">
        <v>68</v>
      </c>
      <c r="B186" s="755"/>
      <c r="C186" s="756"/>
      <c r="D186" s="756"/>
      <c r="E186" s="756"/>
      <c r="F186" s="756"/>
      <c r="G186" s="756"/>
      <c r="H186" s="756"/>
      <c r="I186" s="756"/>
      <c r="J186" s="87">
        <f>SUM(J181:J185)</f>
        <v>806.1600000000002</v>
      </c>
    </row>
    <row r="187" spans="1:10" ht="15">
      <c r="A187" s="783" t="s">
        <v>69</v>
      </c>
      <c r="B187" s="784"/>
      <c r="C187" s="784"/>
      <c r="D187" s="784"/>
      <c r="E187" s="784"/>
      <c r="F187" s="784"/>
      <c r="G187" s="784"/>
      <c r="H187" s="784"/>
      <c r="I187" s="166">
        <v>0.05</v>
      </c>
      <c r="J187" s="596">
        <f>ROUND(J186*I187,2)</f>
        <v>40.31</v>
      </c>
    </row>
    <row r="188" spans="1:10" ht="15">
      <c r="A188" s="785" t="s">
        <v>70</v>
      </c>
      <c r="B188" s="786"/>
      <c r="C188" s="787"/>
      <c r="D188" s="787"/>
      <c r="E188" s="787"/>
      <c r="F188" s="787"/>
      <c r="G188" s="787"/>
      <c r="H188" s="787"/>
      <c r="I188" s="787"/>
      <c r="J188" s="597">
        <v>1</v>
      </c>
    </row>
    <row r="189" spans="1:10" ht="15">
      <c r="A189" s="754" t="s">
        <v>71</v>
      </c>
      <c r="B189" s="755"/>
      <c r="C189" s="756"/>
      <c r="D189" s="756"/>
      <c r="E189" s="756"/>
      <c r="F189" s="756"/>
      <c r="G189" s="756"/>
      <c r="H189" s="756"/>
      <c r="I189" s="756"/>
      <c r="J189" s="45">
        <f>ROUND((J179+J186+J187)/J188,2)</f>
        <v>1258.87</v>
      </c>
    </row>
    <row r="190" spans="1:10" ht="15">
      <c r="A190" s="46" t="s">
        <v>51</v>
      </c>
      <c r="B190" s="47" t="s">
        <v>52</v>
      </c>
      <c r="C190" s="557" t="s">
        <v>72</v>
      </c>
      <c r="D190" s="557" t="s">
        <v>63</v>
      </c>
      <c r="E190" s="769" t="s">
        <v>73</v>
      </c>
      <c r="F190" s="769"/>
      <c r="G190" s="769"/>
      <c r="H190" s="769" t="s">
        <v>74</v>
      </c>
      <c r="I190" s="769"/>
      <c r="J190" s="559" t="s">
        <v>60</v>
      </c>
    </row>
    <row r="191" spans="1:10" ht="22.5">
      <c r="A191" s="581" t="s">
        <v>436</v>
      </c>
      <c r="B191" s="589">
        <v>27003</v>
      </c>
      <c r="C191" s="42" t="s">
        <v>585</v>
      </c>
      <c r="D191" s="49" t="s">
        <v>586</v>
      </c>
      <c r="E191" s="776">
        <v>0.1152</v>
      </c>
      <c r="F191" s="777"/>
      <c r="G191" s="778"/>
      <c r="H191" s="774">
        <v>24</v>
      </c>
      <c r="I191" s="775"/>
      <c r="J191" s="598">
        <f>ROUND(H191*E191,2)</f>
        <v>2.76</v>
      </c>
    </row>
    <row r="192" spans="1:10" ht="22.5">
      <c r="A192" s="581" t="s">
        <v>436</v>
      </c>
      <c r="B192" s="589">
        <v>20503</v>
      </c>
      <c r="C192" s="42" t="s">
        <v>587</v>
      </c>
      <c r="D192" s="49" t="s">
        <v>588</v>
      </c>
      <c r="E192" s="776">
        <v>0.042336</v>
      </c>
      <c r="F192" s="777"/>
      <c r="G192" s="778"/>
      <c r="H192" s="774">
        <v>112.86</v>
      </c>
      <c r="I192" s="775"/>
      <c r="J192" s="598">
        <f aca="true" t="shared" si="0" ref="J192:J219">ROUND(H192*E192,2)</f>
        <v>4.78</v>
      </c>
    </row>
    <row r="193" spans="1:10" ht="33.75">
      <c r="A193" s="581" t="s">
        <v>145</v>
      </c>
      <c r="B193" s="599">
        <v>1093</v>
      </c>
      <c r="C193" s="42" t="s">
        <v>589</v>
      </c>
      <c r="D193" s="49" t="s">
        <v>590</v>
      </c>
      <c r="E193" s="776">
        <v>1</v>
      </c>
      <c r="F193" s="777"/>
      <c r="G193" s="778"/>
      <c r="H193" s="774">
        <v>84.75</v>
      </c>
      <c r="I193" s="775"/>
      <c r="J193" s="598">
        <f t="shared" si="0"/>
        <v>84.75</v>
      </c>
    </row>
    <row r="194" spans="1:10" ht="22.5">
      <c r="A194" s="581" t="s">
        <v>436</v>
      </c>
      <c r="B194" s="589">
        <v>20517</v>
      </c>
      <c r="C194" s="42" t="s">
        <v>591</v>
      </c>
      <c r="D194" s="49" t="s">
        <v>588</v>
      </c>
      <c r="E194" s="776">
        <v>0.024003</v>
      </c>
      <c r="F194" s="777"/>
      <c r="G194" s="778"/>
      <c r="H194" s="774">
        <v>130.12</v>
      </c>
      <c r="I194" s="775"/>
      <c r="J194" s="598">
        <f t="shared" si="0"/>
        <v>3.12</v>
      </c>
    </row>
    <row r="195" spans="1:10" ht="22.5">
      <c r="A195" s="581" t="s">
        <v>436</v>
      </c>
      <c r="B195" s="589">
        <v>20518</v>
      </c>
      <c r="C195" s="42" t="s">
        <v>592</v>
      </c>
      <c r="D195" s="49" t="s">
        <v>588</v>
      </c>
      <c r="E195" s="776">
        <v>0.024003</v>
      </c>
      <c r="F195" s="777"/>
      <c r="G195" s="778"/>
      <c r="H195" s="774">
        <v>130.12</v>
      </c>
      <c r="I195" s="775"/>
      <c r="J195" s="598">
        <f t="shared" si="0"/>
        <v>3.12</v>
      </c>
    </row>
    <row r="196" spans="1:10" ht="15">
      <c r="A196" s="581" t="s">
        <v>145</v>
      </c>
      <c r="B196" s="589">
        <v>4893</v>
      </c>
      <c r="C196" s="42" t="s">
        <v>593</v>
      </c>
      <c r="D196" s="49" t="s">
        <v>590</v>
      </c>
      <c r="E196" s="776">
        <v>1</v>
      </c>
      <c r="F196" s="777"/>
      <c r="G196" s="778"/>
      <c r="H196" s="774">
        <v>15.7</v>
      </c>
      <c r="I196" s="775"/>
      <c r="J196" s="598">
        <f t="shared" si="0"/>
        <v>15.7</v>
      </c>
    </row>
    <row r="197" spans="1:10" ht="22.5">
      <c r="A197" s="581" t="s">
        <v>436</v>
      </c>
      <c r="B197" s="589">
        <v>49568</v>
      </c>
      <c r="C197" s="42" t="s">
        <v>594</v>
      </c>
      <c r="D197" s="49" t="s">
        <v>573</v>
      </c>
      <c r="E197" s="776">
        <v>2</v>
      </c>
      <c r="F197" s="777"/>
      <c r="G197" s="778"/>
      <c r="H197" s="774">
        <v>9.36</v>
      </c>
      <c r="I197" s="775"/>
      <c r="J197" s="598">
        <f t="shared" si="0"/>
        <v>18.72</v>
      </c>
    </row>
    <row r="198" spans="1:10" ht="22.5">
      <c r="A198" s="581" t="s">
        <v>436</v>
      </c>
      <c r="B198" s="589">
        <v>43039</v>
      </c>
      <c r="C198" s="42" t="s">
        <v>595</v>
      </c>
      <c r="D198" s="49" t="s">
        <v>308</v>
      </c>
      <c r="E198" s="776">
        <v>2.04</v>
      </c>
      <c r="F198" s="777"/>
      <c r="G198" s="778"/>
      <c r="H198" s="774">
        <v>13.17</v>
      </c>
      <c r="I198" s="775"/>
      <c r="J198" s="598">
        <f t="shared" si="0"/>
        <v>26.87</v>
      </c>
    </row>
    <row r="199" spans="1:10" ht="22.5">
      <c r="A199" s="581" t="s">
        <v>436</v>
      </c>
      <c r="B199" s="589">
        <v>43059</v>
      </c>
      <c r="C199" s="42" t="s">
        <v>596</v>
      </c>
      <c r="D199" s="49" t="s">
        <v>308</v>
      </c>
      <c r="E199" s="776">
        <v>24.48</v>
      </c>
      <c r="F199" s="777"/>
      <c r="G199" s="778"/>
      <c r="H199" s="774">
        <v>19.58</v>
      </c>
      <c r="I199" s="775"/>
      <c r="J199" s="598">
        <f t="shared" si="0"/>
        <v>479.32</v>
      </c>
    </row>
    <row r="200" spans="1:10" ht="22.5">
      <c r="A200" s="581" t="s">
        <v>436</v>
      </c>
      <c r="B200" s="589">
        <v>43836</v>
      </c>
      <c r="C200" s="42" t="s">
        <v>597</v>
      </c>
      <c r="D200" s="49" t="s">
        <v>573</v>
      </c>
      <c r="E200" s="776">
        <v>1</v>
      </c>
      <c r="F200" s="777"/>
      <c r="G200" s="778"/>
      <c r="H200" s="774">
        <v>255.67</v>
      </c>
      <c r="I200" s="775"/>
      <c r="J200" s="598">
        <f t="shared" si="0"/>
        <v>255.67</v>
      </c>
    </row>
    <row r="201" spans="1:10" ht="22.5">
      <c r="A201" s="581" t="s">
        <v>436</v>
      </c>
      <c r="B201" s="589">
        <v>20508</v>
      </c>
      <c r="C201" s="42" t="s">
        <v>598</v>
      </c>
      <c r="D201" s="49" t="s">
        <v>586</v>
      </c>
      <c r="E201" s="776">
        <v>22.05</v>
      </c>
      <c r="F201" s="777"/>
      <c r="G201" s="778"/>
      <c r="H201" s="774">
        <v>0.49</v>
      </c>
      <c r="I201" s="775"/>
      <c r="J201" s="598">
        <f t="shared" si="0"/>
        <v>10.8</v>
      </c>
    </row>
    <row r="202" spans="1:10" ht="22.5">
      <c r="A202" s="581" t="s">
        <v>436</v>
      </c>
      <c r="B202" s="589">
        <v>48607</v>
      </c>
      <c r="C202" s="42" t="s">
        <v>599</v>
      </c>
      <c r="D202" s="49" t="s">
        <v>573</v>
      </c>
      <c r="E202" s="776">
        <v>6</v>
      </c>
      <c r="F202" s="777"/>
      <c r="G202" s="778"/>
      <c r="H202" s="774">
        <v>19.88</v>
      </c>
      <c r="I202" s="775"/>
      <c r="J202" s="598">
        <f t="shared" si="0"/>
        <v>119.28</v>
      </c>
    </row>
    <row r="203" spans="1:10" ht="22.5">
      <c r="A203" s="581" t="s">
        <v>436</v>
      </c>
      <c r="B203" s="589">
        <v>28008</v>
      </c>
      <c r="C203" s="42" t="s">
        <v>600</v>
      </c>
      <c r="D203" s="49" t="s">
        <v>601</v>
      </c>
      <c r="E203" s="776">
        <v>0.28</v>
      </c>
      <c r="F203" s="777"/>
      <c r="G203" s="778"/>
      <c r="H203" s="774">
        <v>12.35</v>
      </c>
      <c r="I203" s="775"/>
      <c r="J203" s="598">
        <f t="shared" si="0"/>
        <v>3.46</v>
      </c>
    </row>
    <row r="204" spans="1:10" ht="22.5">
      <c r="A204" s="581" t="s">
        <v>145</v>
      </c>
      <c r="B204" s="589">
        <v>12056</v>
      </c>
      <c r="C204" s="42" t="s">
        <v>602</v>
      </c>
      <c r="D204" s="49" t="s">
        <v>603</v>
      </c>
      <c r="E204" s="776">
        <v>7.5</v>
      </c>
      <c r="F204" s="777"/>
      <c r="G204" s="778"/>
      <c r="H204" s="774">
        <v>31.95</v>
      </c>
      <c r="I204" s="775"/>
      <c r="J204" s="598">
        <f t="shared" si="0"/>
        <v>239.63</v>
      </c>
    </row>
    <row r="205" spans="1:10" ht="22.5">
      <c r="A205" s="581" t="s">
        <v>436</v>
      </c>
      <c r="B205" s="589">
        <v>42505</v>
      </c>
      <c r="C205" s="42" t="s">
        <v>604</v>
      </c>
      <c r="D205" s="49" t="s">
        <v>308</v>
      </c>
      <c r="E205" s="776">
        <v>6.6</v>
      </c>
      <c r="F205" s="777"/>
      <c r="G205" s="778"/>
      <c r="H205" s="774">
        <v>12.93</v>
      </c>
      <c r="I205" s="775"/>
      <c r="J205" s="598">
        <f t="shared" si="0"/>
        <v>85.34</v>
      </c>
    </row>
    <row r="206" spans="1:10" ht="25.5" customHeight="1">
      <c r="A206" s="581" t="s">
        <v>436</v>
      </c>
      <c r="B206" s="589">
        <v>48035</v>
      </c>
      <c r="C206" s="42" t="s">
        <v>605</v>
      </c>
      <c r="D206" s="49" t="s">
        <v>573</v>
      </c>
      <c r="E206" s="776">
        <v>1</v>
      </c>
      <c r="F206" s="777"/>
      <c r="G206" s="778"/>
      <c r="H206" s="774">
        <v>181.29</v>
      </c>
      <c r="I206" s="775"/>
      <c r="J206" s="598">
        <f t="shared" si="0"/>
        <v>181.29</v>
      </c>
    </row>
    <row r="207" spans="1:10" ht="22.5">
      <c r="A207" s="581" t="s">
        <v>436</v>
      </c>
      <c r="B207" s="599">
        <v>44664</v>
      </c>
      <c r="C207" s="42" t="s">
        <v>606</v>
      </c>
      <c r="D207" s="49" t="s">
        <v>573</v>
      </c>
      <c r="E207" s="776">
        <v>1</v>
      </c>
      <c r="F207" s="777"/>
      <c r="G207" s="778"/>
      <c r="H207" s="774">
        <v>31.88</v>
      </c>
      <c r="I207" s="775"/>
      <c r="J207" s="598">
        <f t="shared" si="0"/>
        <v>31.88</v>
      </c>
    </row>
    <row r="208" spans="1:10" ht="22.5">
      <c r="A208" s="581" t="s">
        <v>145</v>
      </c>
      <c r="B208" s="589">
        <v>4209</v>
      </c>
      <c r="C208" s="42" t="s">
        <v>607</v>
      </c>
      <c r="D208" s="49" t="s">
        <v>590</v>
      </c>
      <c r="E208" s="776">
        <v>5</v>
      </c>
      <c r="F208" s="777"/>
      <c r="G208" s="778"/>
      <c r="H208" s="774">
        <v>25.16</v>
      </c>
      <c r="I208" s="775"/>
      <c r="J208" s="598">
        <f t="shared" si="0"/>
        <v>125.8</v>
      </c>
    </row>
    <row r="209" spans="1:10" ht="22.5">
      <c r="A209" s="581" t="s">
        <v>436</v>
      </c>
      <c r="B209" s="589">
        <v>49654</v>
      </c>
      <c r="C209" s="42" t="s">
        <v>608</v>
      </c>
      <c r="D209" s="49" t="s">
        <v>573</v>
      </c>
      <c r="E209" s="776">
        <v>1</v>
      </c>
      <c r="F209" s="777"/>
      <c r="G209" s="778"/>
      <c r="H209" s="774">
        <v>29.6</v>
      </c>
      <c r="I209" s="775"/>
      <c r="J209" s="598">
        <f t="shared" si="0"/>
        <v>29.6</v>
      </c>
    </row>
    <row r="210" spans="1:10" ht="22.5">
      <c r="A210" s="581" t="s">
        <v>436</v>
      </c>
      <c r="B210" s="589">
        <v>49002</v>
      </c>
      <c r="C210" s="42" t="s">
        <v>609</v>
      </c>
      <c r="D210" s="49" t="s">
        <v>573</v>
      </c>
      <c r="E210" s="776">
        <v>3</v>
      </c>
      <c r="F210" s="777"/>
      <c r="G210" s="778"/>
      <c r="H210" s="774">
        <v>37.22</v>
      </c>
      <c r="I210" s="775"/>
      <c r="J210" s="598">
        <f t="shared" si="0"/>
        <v>111.66</v>
      </c>
    </row>
    <row r="211" spans="1:10" ht="22.5">
      <c r="A211" s="581" t="s">
        <v>436</v>
      </c>
      <c r="B211" s="589">
        <v>26569</v>
      </c>
      <c r="C211" s="42" t="s">
        <v>610</v>
      </c>
      <c r="D211" s="49" t="s">
        <v>586</v>
      </c>
      <c r="E211" s="776">
        <v>0.105</v>
      </c>
      <c r="F211" s="777"/>
      <c r="G211" s="778"/>
      <c r="H211" s="774">
        <v>18.51</v>
      </c>
      <c r="I211" s="775"/>
      <c r="J211" s="598">
        <f t="shared" si="0"/>
        <v>1.94</v>
      </c>
    </row>
    <row r="212" spans="1:10" ht="22.5">
      <c r="A212" s="581" t="s">
        <v>436</v>
      </c>
      <c r="B212" s="589">
        <v>42091</v>
      </c>
      <c r="C212" s="42" t="s">
        <v>611</v>
      </c>
      <c r="D212" s="49" t="s">
        <v>573</v>
      </c>
      <c r="E212" s="776">
        <v>2</v>
      </c>
      <c r="F212" s="777"/>
      <c r="G212" s="778"/>
      <c r="H212" s="774">
        <v>20.37</v>
      </c>
      <c r="I212" s="775"/>
      <c r="J212" s="598">
        <f t="shared" si="0"/>
        <v>40.74</v>
      </c>
    </row>
    <row r="213" spans="1:10" ht="22.5">
      <c r="A213" s="581" t="s">
        <v>436</v>
      </c>
      <c r="B213" s="589">
        <v>46027</v>
      </c>
      <c r="C213" s="42" t="s">
        <v>612</v>
      </c>
      <c r="D213" s="49" t="s">
        <v>573</v>
      </c>
      <c r="E213" s="776">
        <v>1</v>
      </c>
      <c r="F213" s="777"/>
      <c r="G213" s="778"/>
      <c r="H213" s="774">
        <v>24.27</v>
      </c>
      <c r="I213" s="775"/>
      <c r="J213" s="598">
        <f t="shared" si="0"/>
        <v>24.27</v>
      </c>
    </row>
    <row r="214" spans="1:10" ht="22.5">
      <c r="A214" s="581" t="s">
        <v>436</v>
      </c>
      <c r="B214" s="589">
        <v>20985</v>
      </c>
      <c r="C214" s="42" t="s">
        <v>613</v>
      </c>
      <c r="D214" s="49" t="s">
        <v>308</v>
      </c>
      <c r="E214" s="776">
        <v>0.35</v>
      </c>
      <c r="F214" s="777"/>
      <c r="G214" s="778"/>
      <c r="H214" s="774">
        <v>7.52</v>
      </c>
      <c r="I214" s="775"/>
      <c r="J214" s="598">
        <f t="shared" si="0"/>
        <v>2.63</v>
      </c>
    </row>
    <row r="215" spans="1:10" ht="22.5">
      <c r="A215" s="581" t="s">
        <v>436</v>
      </c>
      <c r="B215" s="589">
        <v>20988</v>
      </c>
      <c r="C215" s="42" t="s">
        <v>614</v>
      </c>
      <c r="D215" s="49" t="s">
        <v>308</v>
      </c>
      <c r="E215" s="776">
        <v>0.7</v>
      </c>
      <c r="F215" s="777"/>
      <c r="G215" s="778"/>
      <c r="H215" s="774">
        <v>14.33</v>
      </c>
      <c r="I215" s="775"/>
      <c r="J215" s="598">
        <f t="shared" si="0"/>
        <v>10.03</v>
      </c>
    </row>
    <row r="216" spans="1:10" ht="22.5">
      <c r="A216" s="581" t="s">
        <v>436</v>
      </c>
      <c r="B216" s="589">
        <v>49681</v>
      </c>
      <c r="C216" s="42" t="s">
        <v>615</v>
      </c>
      <c r="D216" s="49" t="s">
        <v>573</v>
      </c>
      <c r="E216" s="776">
        <v>3</v>
      </c>
      <c r="F216" s="777"/>
      <c r="G216" s="778"/>
      <c r="H216" s="774">
        <v>5.08</v>
      </c>
      <c r="I216" s="775"/>
      <c r="J216" s="598">
        <f t="shared" si="0"/>
        <v>15.24</v>
      </c>
    </row>
    <row r="217" spans="1:10" ht="22.5">
      <c r="A217" s="581" t="s">
        <v>436</v>
      </c>
      <c r="B217" s="589">
        <v>41866</v>
      </c>
      <c r="C217" s="42" t="s">
        <v>616</v>
      </c>
      <c r="D217" s="49" t="s">
        <v>573</v>
      </c>
      <c r="E217" s="776">
        <v>1</v>
      </c>
      <c r="F217" s="777"/>
      <c r="G217" s="778"/>
      <c r="H217" s="774">
        <v>164.75</v>
      </c>
      <c r="I217" s="775"/>
      <c r="J217" s="598">
        <f t="shared" si="0"/>
        <v>164.75</v>
      </c>
    </row>
    <row r="218" spans="1:10" ht="22.5">
      <c r="A218" s="581" t="s">
        <v>436</v>
      </c>
      <c r="B218" s="589">
        <v>42673</v>
      </c>
      <c r="C218" s="42" t="s">
        <v>617</v>
      </c>
      <c r="D218" s="49" t="s">
        <v>308</v>
      </c>
      <c r="E218" s="776">
        <v>2.5</v>
      </c>
      <c r="F218" s="777"/>
      <c r="G218" s="778"/>
      <c r="H218" s="774">
        <v>4.48</v>
      </c>
      <c r="I218" s="775"/>
      <c r="J218" s="598">
        <f t="shared" si="0"/>
        <v>11.2</v>
      </c>
    </row>
    <row r="219" spans="1:10" ht="22.5">
      <c r="A219" s="581" t="s">
        <v>436</v>
      </c>
      <c r="B219" s="589">
        <v>44664</v>
      </c>
      <c r="C219" s="42" t="s">
        <v>606</v>
      </c>
      <c r="D219" s="49" t="s">
        <v>573</v>
      </c>
      <c r="E219" s="776">
        <v>4</v>
      </c>
      <c r="F219" s="777"/>
      <c r="G219" s="778"/>
      <c r="H219" s="774">
        <v>31.88</v>
      </c>
      <c r="I219" s="775"/>
      <c r="J219" s="598">
        <f t="shared" si="0"/>
        <v>127.52</v>
      </c>
    </row>
    <row r="220" spans="1:10" ht="15">
      <c r="A220" s="754" t="s">
        <v>75</v>
      </c>
      <c r="B220" s="755"/>
      <c r="C220" s="756"/>
      <c r="D220" s="756"/>
      <c r="E220" s="756"/>
      <c r="F220" s="756"/>
      <c r="G220" s="756"/>
      <c r="H220" s="756"/>
      <c r="I220" s="756"/>
      <c r="J220" s="45">
        <f>SUM(J191:J219)</f>
        <v>2231.87</v>
      </c>
    </row>
    <row r="221" spans="1:10" ht="15">
      <c r="A221" s="46" t="s">
        <v>51</v>
      </c>
      <c r="B221" s="47" t="s">
        <v>52</v>
      </c>
      <c r="C221" s="557" t="s">
        <v>76</v>
      </c>
      <c r="D221" s="557" t="s">
        <v>63</v>
      </c>
      <c r="E221" s="769" t="s">
        <v>73</v>
      </c>
      <c r="F221" s="769"/>
      <c r="G221" s="769"/>
      <c r="H221" s="769" t="s">
        <v>74</v>
      </c>
      <c r="I221" s="769"/>
      <c r="J221" s="559" t="s">
        <v>60</v>
      </c>
    </row>
    <row r="222" spans="1:10" ht="45">
      <c r="A222" s="581" t="s">
        <v>436</v>
      </c>
      <c r="B222" s="44">
        <v>150614</v>
      </c>
      <c r="C222" s="42" t="s">
        <v>635</v>
      </c>
      <c r="D222" s="49" t="s">
        <v>148</v>
      </c>
      <c r="E222" s="771">
        <v>1</v>
      </c>
      <c r="F222" s="772"/>
      <c r="G222" s="773"/>
      <c r="H222" s="774">
        <v>123.83</v>
      </c>
      <c r="I222" s="775"/>
      <c r="J222" s="84">
        <f>ROUND(H222*E222,2)</f>
        <v>123.83</v>
      </c>
    </row>
    <row r="223" spans="1:10" ht="15">
      <c r="A223" s="754" t="s">
        <v>77</v>
      </c>
      <c r="B223" s="755"/>
      <c r="C223" s="756"/>
      <c r="D223" s="756"/>
      <c r="E223" s="756"/>
      <c r="F223" s="756"/>
      <c r="G223" s="756"/>
      <c r="H223" s="756"/>
      <c r="I223" s="756"/>
      <c r="J223" s="45">
        <f>SUM(J222:J222)</f>
        <v>123.83</v>
      </c>
    </row>
    <row r="224" spans="1:10" ht="15">
      <c r="A224" s="46" t="s">
        <v>51</v>
      </c>
      <c r="B224" s="47" t="s">
        <v>52</v>
      </c>
      <c r="C224" s="557" t="s">
        <v>78</v>
      </c>
      <c r="D224" s="557" t="s">
        <v>63</v>
      </c>
      <c r="E224" s="769" t="s">
        <v>73</v>
      </c>
      <c r="F224" s="769"/>
      <c r="G224" s="769"/>
      <c r="H224" s="769" t="s">
        <v>74</v>
      </c>
      <c r="I224" s="769"/>
      <c r="J224" s="559" t="s">
        <v>60</v>
      </c>
    </row>
    <row r="225" spans="1:10" ht="15">
      <c r="A225" s="56"/>
      <c r="B225" s="44"/>
      <c r="C225" s="42"/>
      <c r="D225" s="49"/>
      <c r="E225" s="760"/>
      <c r="F225" s="761"/>
      <c r="G225" s="761"/>
      <c r="H225" s="762"/>
      <c r="I225" s="763"/>
      <c r="J225" s="59"/>
    </row>
    <row r="226" spans="1:10" ht="15">
      <c r="A226" s="754" t="s">
        <v>79</v>
      </c>
      <c r="B226" s="755"/>
      <c r="C226" s="756"/>
      <c r="D226" s="756"/>
      <c r="E226" s="756"/>
      <c r="F226" s="756"/>
      <c r="G226" s="756"/>
      <c r="H226" s="756"/>
      <c r="I226" s="756"/>
      <c r="J226" s="45">
        <f>SUM(J225)</f>
        <v>0</v>
      </c>
    </row>
    <row r="227" spans="1:10" ht="15">
      <c r="A227" s="764" t="s">
        <v>51</v>
      </c>
      <c r="B227" s="766" t="s">
        <v>52</v>
      </c>
      <c r="C227" s="767" t="s">
        <v>80</v>
      </c>
      <c r="D227" s="769" t="s">
        <v>81</v>
      </c>
      <c r="E227" s="769"/>
      <c r="F227" s="769" t="s">
        <v>82</v>
      </c>
      <c r="G227" s="769"/>
      <c r="H227" s="769" t="s">
        <v>74</v>
      </c>
      <c r="I227" s="769"/>
      <c r="J227" s="749" t="s">
        <v>60</v>
      </c>
    </row>
    <row r="228" spans="1:10" ht="15">
      <c r="A228" s="765"/>
      <c r="B228" s="767"/>
      <c r="C228" s="768"/>
      <c r="D228" s="558" t="s">
        <v>83</v>
      </c>
      <c r="E228" s="558" t="s">
        <v>84</v>
      </c>
      <c r="F228" s="770"/>
      <c r="G228" s="770"/>
      <c r="H228" s="770"/>
      <c r="I228" s="770"/>
      <c r="J228" s="750"/>
    </row>
    <row r="229" spans="1:10" ht="15">
      <c r="A229" s="56"/>
      <c r="B229" s="60"/>
      <c r="C229" s="61"/>
      <c r="D229" s="62"/>
      <c r="E229" s="62"/>
      <c r="F229" s="751"/>
      <c r="G229" s="752"/>
      <c r="H229" s="753"/>
      <c r="I229" s="753"/>
      <c r="J229" s="55"/>
    </row>
    <row r="230" spans="1:10" ht="15.75" thickBot="1">
      <c r="A230" s="754" t="s">
        <v>85</v>
      </c>
      <c r="B230" s="755"/>
      <c r="C230" s="756"/>
      <c r="D230" s="756"/>
      <c r="E230" s="756"/>
      <c r="F230" s="756"/>
      <c r="G230" s="756"/>
      <c r="H230" s="756"/>
      <c r="I230" s="756"/>
      <c r="J230" s="45">
        <f>SUM(J229:J229)</f>
        <v>0</v>
      </c>
    </row>
    <row r="231" spans="1:10" ht="15.75" thickBot="1">
      <c r="A231" s="757" t="s">
        <v>86</v>
      </c>
      <c r="B231" s="758"/>
      <c r="C231" s="759"/>
      <c r="D231" s="759"/>
      <c r="E231" s="759"/>
      <c r="F231" s="759"/>
      <c r="G231" s="759"/>
      <c r="H231" s="759"/>
      <c r="I231" s="759"/>
      <c r="J231" s="602">
        <f>J189+J220+J223+J230+J226</f>
        <v>3614.5699999999997</v>
      </c>
    </row>
    <row r="232" spans="1:12" ht="30" customHeight="1">
      <c r="A232" s="39" t="s">
        <v>45</v>
      </c>
      <c r="B232" s="601">
        <v>62001</v>
      </c>
      <c r="C232" s="788" t="s">
        <v>524</v>
      </c>
      <c r="D232" s="789"/>
      <c r="E232" s="789"/>
      <c r="F232" s="789"/>
      <c r="G232" s="789"/>
      <c r="H232" s="789"/>
      <c r="I232" s="789"/>
      <c r="J232" s="790"/>
      <c r="K232" t="str">
        <f>H233</f>
        <v>und</v>
      </c>
      <c r="L232" s="274">
        <f>J272</f>
        <v>3074.5499999999997</v>
      </c>
    </row>
    <row r="233" spans="1:10" ht="23.25" thickBot="1">
      <c r="A233" s="791" t="s">
        <v>47</v>
      </c>
      <c r="B233" s="792"/>
      <c r="C233" s="82" t="s">
        <v>522</v>
      </c>
      <c r="D233" s="793" t="s">
        <v>48</v>
      </c>
      <c r="E233" s="794"/>
      <c r="F233" s="40"/>
      <c r="G233" s="561" t="s">
        <v>49</v>
      </c>
      <c r="H233" s="160" t="s">
        <v>148</v>
      </c>
      <c r="I233" s="795"/>
      <c r="J233" s="796"/>
    </row>
    <row r="234" spans="1:10" ht="15">
      <c r="A234" s="797" t="s">
        <v>51</v>
      </c>
      <c r="B234" s="798" t="s">
        <v>52</v>
      </c>
      <c r="C234" s="798" t="s">
        <v>53</v>
      </c>
      <c r="D234" s="799" t="s">
        <v>54</v>
      </c>
      <c r="E234" s="801" t="s">
        <v>55</v>
      </c>
      <c r="F234" s="802"/>
      <c r="G234" s="803"/>
      <c r="H234" s="801" t="s">
        <v>56</v>
      </c>
      <c r="I234" s="802"/>
      <c r="J234" s="804"/>
    </row>
    <row r="235" spans="1:10" ht="15">
      <c r="A235" s="765"/>
      <c r="B235" s="767"/>
      <c r="C235" s="767"/>
      <c r="D235" s="800"/>
      <c r="E235" s="560" t="s">
        <v>57</v>
      </c>
      <c r="F235" s="560" t="s">
        <v>58</v>
      </c>
      <c r="G235" s="560" t="s">
        <v>59</v>
      </c>
      <c r="H235" s="560" t="s">
        <v>58</v>
      </c>
      <c r="I235" s="560" t="s">
        <v>59</v>
      </c>
      <c r="J235" s="41" t="s">
        <v>60</v>
      </c>
    </row>
    <row r="236" spans="1:10" ht="22.5">
      <c r="A236" s="581" t="s">
        <v>436</v>
      </c>
      <c r="B236" s="589">
        <v>80125</v>
      </c>
      <c r="C236" s="161" t="s">
        <v>650</v>
      </c>
      <c r="D236" s="162" t="s">
        <v>150</v>
      </c>
      <c r="E236" s="590">
        <v>0.0093</v>
      </c>
      <c r="F236" s="590">
        <v>0.6</v>
      </c>
      <c r="G236" s="590">
        <v>0.4</v>
      </c>
      <c r="H236" s="162">
        <v>39.72</v>
      </c>
      <c r="I236" s="162">
        <v>14.05</v>
      </c>
      <c r="J236" s="163">
        <f>ROUND(E236*(F236*H236)+(G236*I236),2)</f>
        <v>5.84</v>
      </c>
    </row>
    <row r="237" spans="1:10" ht="22.5">
      <c r="A237" s="581" t="s">
        <v>436</v>
      </c>
      <c r="B237" s="44">
        <v>80170</v>
      </c>
      <c r="C237" s="42" t="s">
        <v>653</v>
      </c>
      <c r="D237" s="562" t="s">
        <v>150</v>
      </c>
      <c r="E237" s="591">
        <v>2.3</v>
      </c>
      <c r="F237" s="591">
        <v>1</v>
      </c>
      <c r="G237" s="591">
        <v>0</v>
      </c>
      <c r="H237" s="562">
        <v>226.41</v>
      </c>
      <c r="I237" s="562">
        <v>11.57</v>
      </c>
      <c r="J237" s="43">
        <f>ROUND(E237*(F237*H237)+(G237*I237),2)</f>
        <v>520.74</v>
      </c>
    </row>
    <row r="238" spans="1:10" ht="15">
      <c r="A238" s="779" t="s">
        <v>61</v>
      </c>
      <c r="B238" s="780"/>
      <c r="C238" s="780"/>
      <c r="D238" s="780"/>
      <c r="E238" s="780"/>
      <c r="F238" s="780"/>
      <c r="G238" s="780"/>
      <c r="H238" s="780"/>
      <c r="I238" s="755"/>
      <c r="J238" s="45">
        <f>SUM(J236:J237)</f>
        <v>526.58</v>
      </c>
    </row>
    <row r="239" spans="1:10" ht="22.5">
      <c r="A239" s="46" t="s">
        <v>51</v>
      </c>
      <c r="B239" s="47" t="s">
        <v>52</v>
      </c>
      <c r="C239" s="557" t="s">
        <v>62</v>
      </c>
      <c r="D239" s="557" t="s">
        <v>63</v>
      </c>
      <c r="E239" s="557" t="s">
        <v>19</v>
      </c>
      <c r="F239" s="270" t="s">
        <v>64</v>
      </c>
      <c r="G239" s="270" t="s">
        <v>65</v>
      </c>
      <c r="H239" s="781" t="s">
        <v>66</v>
      </c>
      <c r="I239" s="782"/>
      <c r="J239" s="48" t="s">
        <v>67</v>
      </c>
    </row>
    <row r="240" spans="1:10" ht="22.5">
      <c r="A240" s="581" t="s">
        <v>436</v>
      </c>
      <c r="B240" s="589">
        <v>10101</v>
      </c>
      <c r="C240" s="42" t="s">
        <v>654</v>
      </c>
      <c r="D240" s="49" t="s">
        <v>655</v>
      </c>
      <c r="E240" s="592">
        <v>0.57</v>
      </c>
      <c r="F240" s="593">
        <v>6.27</v>
      </c>
      <c r="G240" s="594">
        <v>1.5727</v>
      </c>
      <c r="H240" s="805">
        <f>F240*(1+G240)</f>
        <v>16.130829</v>
      </c>
      <c r="I240" s="806"/>
      <c r="J240" s="83">
        <f>ROUND(H240*E240,2)</f>
        <v>9.19</v>
      </c>
    </row>
    <row r="241" spans="1:10" ht="22.5">
      <c r="A241" s="581" t="s">
        <v>436</v>
      </c>
      <c r="B241" s="589">
        <v>10115</v>
      </c>
      <c r="C241" s="42" t="s">
        <v>656</v>
      </c>
      <c r="D241" s="49" t="s">
        <v>655</v>
      </c>
      <c r="E241" s="162">
        <v>2</v>
      </c>
      <c r="F241" s="35">
        <v>7.43</v>
      </c>
      <c r="G241" s="165">
        <v>1.5727</v>
      </c>
      <c r="H241" s="774">
        <f>F241*(1+G241)</f>
        <v>19.115161</v>
      </c>
      <c r="I241" s="775"/>
      <c r="J241" s="84">
        <f>ROUND(H241*E241,2)</f>
        <v>38.23</v>
      </c>
    </row>
    <row r="242" spans="1:10" ht="22.5">
      <c r="A242" s="581" t="s">
        <v>436</v>
      </c>
      <c r="B242" s="589">
        <v>10139</v>
      </c>
      <c r="C242" s="42" t="s">
        <v>658</v>
      </c>
      <c r="D242" s="49" t="s">
        <v>655</v>
      </c>
      <c r="E242" s="162">
        <v>1</v>
      </c>
      <c r="F242" s="35">
        <v>7.43</v>
      </c>
      <c r="G242" s="165">
        <v>1.5727</v>
      </c>
      <c r="H242" s="774">
        <f>F242*(1+G242)</f>
        <v>19.115161</v>
      </c>
      <c r="I242" s="775"/>
      <c r="J242" s="84">
        <f>ROUND(H242*E242,2)</f>
        <v>19.12</v>
      </c>
    </row>
    <row r="243" spans="1:10" ht="22.5">
      <c r="A243" s="581" t="s">
        <v>436</v>
      </c>
      <c r="B243" s="44">
        <v>10146</v>
      </c>
      <c r="C243" s="42" t="s">
        <v>659</v>
      </c>
      <c r="D243" s="49" t="s">
        <v>655</v>
      </c>
      <c r="E243" s="595">
        <v>1</v>
      </c>
      <c r="F243" s="35">
        <v>5.51</v>
      </c>
      <c r="G243" s="165">
        <v>1.5727</v>
      </c>
      <c r="H243" s="774">
        <f>F243*(1+G243)</f>
        <v>14.175577</v>
      </c>
      <c r="I243" s="775"/>
      <c r="J243" s="86">
        <f>ROUND(H243*E243,2)</f>
        <v>14.18</v>
      </c>
    </row>
    <row r="244" spans="1:10" ht="15">
      <c r="A244" s="754" t="s">
        <v>68</v>
      </c>
      <c r="B244" s="755"/>
      <c r="C244" s="756"/>
      <c r="D244" s="756"/>
      <c r="E244" s="756"/>
      <c r="F244" s="756"/>
      <c r="G244" s="756"/>
      <c r="H244" s="756"/>
      <c r="I244" s="756"/>
      <c r="J244" s="87">
        <f>SUM(J240:J243)</f>
        <v>80.72</v>
      </c>
    </row>
    <row r="245" spans="1:10" ht="15">
      <c r="A245" s="783" t="s">
        <v>69</v>
      </c>
      <c r="B245" s="784"/>
      <c r="C245" s="784"/>
      <c r="D245" s="784"/>
      <c r="E245" s="784"/>
      <c r="F245" s="784"/>
      <c r="G245" s="784"/>
      <c r="H245" s="784"/>
      <c r="I245" s="166">
        <v>0.05</v>
      </c>
      <c r="J245" s="596">
        <f>ROUND(J244*I245,2)</f>
        <v>4.04</v>
      </c>
    </row>
    <row r="246" spans="1:10" ht="15">
      <c r="A246" s="785" t="s">
        <v>70</v>
      </c>
      <c r="B246" s="786"/>
      <c r="C246" s="787"/>
      <c r="D246" s="787"/>
      <c r="E246" s="787"/>
      <c r="F246" s="787"/>
      <c r="G246" s="787"/>
      <c r="H246" s="787"/>
      <c r="I246" s="787"/>
      <c r="J246" s="597">
        <v>1</v>
      </c>
    </row>
    <row r="247" spans="1:10" ht="15">
      <c r="A247" s="754" t="s">
        <v>71</v>
      </c>
      <c r="B247" s="755"/>
      <c r="C247" s="756"/>
      <c r="D247" s="756"/>
      <c r="E247" s="756"/>
      <c r="F247" s="756"/>
      <c r="G247" s="756"/>
      <c r="H247" s="756"/>
      <c r="I247" s="756"/>
      <c r="J247" s="45">
        <f>ROUND((J238+J244+J245)/J246,2)</f>
        <v>611.34</v>
      </c>
    </row>
    <row r="248" spans="1:10" ht="15">
      <c r="A248" s="46" t="s">
        <v>51</v>
      </c>
      <c r="B248" s="47" t="s">
        <v>52</v>
      </c>
      <c r="C248" s="557" t="s">
        <v>72</v>
      </c>
      <c r="D248" s="557" t="s">
        <v>63</v>
      </c>
      <c r="E248" s="769" t="s">
        <v>73</v>
      </c>
      <c r="F248" s="769"/>
      <c r="G248" s="769"/>
      <c r="H248" s="769" t="s">
        <v>74</v>
      </c>
      <c r="I248" s="769"/>
      <c r="J248" s="559" t="s">
        <v>60</v>
      </c>
    </row>
    <row r="249" spans="1:10" ht="22.5">
      <c r="A249" s="581" t="s">
        <v>436</v>
      </c>
      <c r="B249" s="589">
        <v>22502</v>
      </c>
      <c r="C249" s="42" t="s">
        <v>618</v>
      </c>
      <c r="D249" s="49" t="s">
        <v>573</v>
      </c>
      <c r="E249" s="776">
        <v>12.6048</v>
      </c>
      <c r="F249" s="777"/>
      <c r="G249" s="778"/>
      <c r="H249" s="774">
        <v>2.4</v>
      </c>
      <c r="I249" s="775"/>
      <c r="J249" s="598">
        <f>ROUND(H249*E249,2)</f>
        <v>30.25</v>
      </c>
    </row>
    <row r="250" spans="1:10" ht="22.5">
      <c r="A250" s="581" t="s">
        <v>436</v>
      </c>
      <c r="B250" s="589">
        <v>20517</v>
      </c>
      <c r="C250" s="42" t="s">
        <v>591</v>
      </c>
      <c r="D250" s="49" t="s">
        <v>588</v>
      </c>
      <c r="E250" s="776">
        <v>0.00114</v>
      </c>
      <c r="F250" s="777"/>
      <c r="G250" s="778"/>
      <c r="H250" s="774">
        <v>130.12</v>
      </c>
      <c r="I250" s="775"/>
      <c r="J250" s="598">
        <f aca="true" t="shared" si="1" ref="J250:J259">ROUND(H250*E250,2)</f>
        <v>0.15</v>
      </c>
    </row>
    <row r="251" spans="1:10" ht="22.5">
      <c r="A251" s="581" t="s">
        <v>436</v>
      </c>
      <c r="B251" s="599">
        <v>20518</v>
      </c>
      <c r="C251" s="42" t="s">
        <v>592</v>
      </c>
      <c r="D251" s="49" t="s">
        <v>588</v>
      </c>
      <c r="E251" s="776">
        <v>0.00267</v>
      </c>
      <c r="F251" s="777"/>
      <c r="G251" s="778"/>
      <c r="H251" s="774">
        <v>130.12</v>
      </c>
      <c r="I251" s="775"/>
      <c r="J251" s="598">
        <f t="shared" si="1"/>
        <v>0.35</v>
      </c>
    </row>
    <row r="252" spans="1:10" ht="22.5">
      <c r="A252" s="581" t="s">
        <v>436</v>
      </c>
      <c r="B252" s="589">
        <v>20519</v>
      </c>
      <c r="C252" s="42" t="s">
        <v>619</v>
      </c>
      <c r="D252" s="49" t="s">
        <v>588</v>
      </c>
      <c r="E252" s="776">
        <v>0.01</v>
      </c>
      <c r="F252" s="777"/>
      <c r="G252" s="778"/>
      <c r="H252" s="774">
        <v>130.12</v>
      </c>
      <c r="I252" s="775"/>
      <c r="J252" s="598">
        <f t="shared" si="1"/>
        <v>1.3</v>
      </c>
    </row>
    <row r="253" spans="1:10" ht="22.5">
      <c r="A253" s="581" t="s">
        <v>436</v>
      </c>
      <c r="B253" s="589">
        <v>20505</v>
      </c>
      <c r="C253" s="42" t="s">
        <v>620</v>
      </c>
      <c r="D253" s="49" t="s">
        <v>586</v>
      </c>
      <c r="E253" s="776">
        <v>0.61</v>
      </c>
      <c r="F253" s="777"/>
      <c r="G253" s="778"/>
      <c r="H253" s="774">
        <v>0.8</v>
      </c>
      <c r="I253" s="775"/>
      <c r="J253" s="598">
        <f t="shared" si="1"/>
        <v>0.49</v>
      </c>
    </row>
    <row r="254" spans="1:10" ht="22.5">
      <c r="A254" s="581" t="s">
        <v>436</v>
      </c>
      <c r="B254" s="589">
        <v>20508</v>
      </c>
      <c r="C254" s="42" t="s">
        <v>598</v>
      </c>
      <c r="D254" s="49" t="s">
        <v>586</v>
      </c>
      <c r="E254" s="776">
        <v>4.36979</v>
      </c>
      <c r="F254" s="777"/>
      <c r="G254" s="778"/>
      <c r="H254" s="774">
        <v>0.49</v>
      </c>
      <c r="I254" s="775"/>
      <c r="J254" s="598">
        <f t="shared" si="1"/>
        <v>2.14</v>
      </c>
    </row>
    <row r="255" spans="1:10" ht="22.5">
      <c r="A255" s="581" t="s">
        <v>436</v>
      </c>
      <c r="B255" s="589">
        <v>43406</v>
      </c>
      <c r="C255" s="42" t="s">
        <v>621</v>
      </c>
      <c r="D255" s="49" t="s">
        <v>308</v>
      </c>
      <c r="E255" s="776">
        <v>7.5</v>
      </c>
      <c r="F255" s="777"/>
      <c r="G255" s="778"/>
      <c r="H255" s="774">
        <v>8.31</v>
      </c>
      <c r="I255" s="775"/>
      <c r="J255" s="598">
        <f t="shared" si="1"/>
        <v>62.33</v>
      </c>
    </row>
    <row r="256" spans="1:10" ht="22.5">
      <c r="A256" s="581" t="s">
        <v>436</v>
      </c>
      <c r="B256" s="589">
        <v>43059</v>
      </c>
      <c r="C256" s="42" t="s">
        <v>596</v>
      </c>
      <c r="D256" s="49" t="s">
        <v>308</v>
      </c>
      <c r="E256" s="776">
        <v>0.5</v>
      </c>
      <c r="F256" s="777"/>
      <c r="G256" s="778"/>
      <c r="H256" s="774">
        <v>19.58</v>
      </c>
      <c r="I256" s="775"/>
      <c r="J256" s="598">
        <f t="shared" si="1"/>
        <v>9.79</v>
      </c>
    </row>
    <row r="257" spans="1:10" ht="22.5">
      <c r="A257" s="581" t="s">
        <v>145</v>
      </c>
      <c r="B257" s="599">
        <v>42243</v>
      </c>
      <c r="C257" s="42" t="s">
        <v>622</v>
      </c>
      <c r="D257" s="49" t="s">
        <v>590</v>
      </c>
      <c r="E257" s="776">
        <v>1</v>
      </c>
      <c r="F257" s="777"/>
      <c r="G257" s="778"/>
      <c r="H257" s="774">
        <v>571.25</v>
      </c>
      <c r="I257" s="775"/>
      <c r="J257" s="598">
        <f t="shared" si="1"/>
        <v>571.25</v>
      </c>
    </row>
    <row r="258" spans="1:10" ht="22.5">
      <c r="A258" s="581" t="s">
        <v>436</v>
      </c>
      <c r="B258" s="589">
        <v>29093</v>
      </c>
      <c r="C258" s="42" t="s">
        <v>623</v>
      </c>
      <c r="D258" s="49" t="s">
        <v>573</v>
      </c>
      <c r="E258" s="776">
        <v>1</v>
      </c>
      <c r="F258" s="777"/>
      <c r="G258" s="778"/>
      <c r="H258" s="774">
        <v>1.92</v>
      </c>
      <c r="I258" s="775"/>
      <c r="J258" s="598">
        <f t="shared" si="1"/>
        <v>1.92</v>
      </c>
    </row>
    <row r="259" spans="1:10" ht="33.75">
      <c r="A259" s="581" t="s">
        <v>145</v>
      </c>
      <c r="B259" s="589">
        <v>14166</v>
      </c>
      <c r="C259" s="42" t="s">
        <v>624</v>
      </c>
      <c r="D259" s="49" t="s">
        <v>590</v>
      </c>
      <c r="E259" s="776">
        <v>1</v>
      </c>
      <c r="F259" s="777"/>
      <c r="G259" s="778"/>
      <c r="H259" s="774">
        <v>1724.12</v>
      </c>
      <c r="I259" s="775"/>
      <c r="J259" s="598">
        <f t="shared" si="1"/>
        <v>1724.12</v>
      </c>
    </row>
    <row r="260" spans="1:10" ht="15">
      <c r="A260" s="754" t="s">
        <v>75</v>
      </c>
      <c r="B260" s="755"/>
      <c r="C260" s="756"/>
      <c r="D260" s="756"/>
      <c r="E260" s="756"/>
      <c r="F260" s="756"/>
      <c r="G260" s="756"/>
      <c r="H260" s="756"/>
      <c r="I260" s="756"/>
      <c r="J260" s="45">
        <f>SUM(J249:J259)</f>
        <v>2404.0899999999997</v>
      </c>
    </row>
    <row r="261" spans="1:10" ht="15">
      <c r="A261" s="46" t="s">
        <v>51</v>
      </c>
      <c r="B261" s="47" t="s">
        <v>52</v>
      </c>
      <c r="C261" s="557" t="s">
        <v>76</v>
      </c>
      <c r="D261" s="557" t="s">
        <v>63</v>
      </c>
      <c r="E261" s="769" t="s">
        <v>73</v>
      </c>
      <c r="F261" s="769"/>
      <c r="G261" s="769"/>
      <c r="H261" s="769" t="s">
        <v>74</v>
      </c>
      <c r="I261" s="769"/>
      <c r="J261" s="559" t="s">
        <v>60</v>
      </c>
    </row>
    <row r="262" spans="1:10" ht="22.5">
      <c r="A262" s="581" t="s">
        <v>436</v>
      </c>
      <c r="B262" s="44">
        <v>30101</v>
      </c>
      <c r="C262" s="42" t="s">
        <v>636</v>
      </c>
      <c r="D262" s="49" t="s">
        <v>563</v>
      </c>
      <c r="E262" s="771">
        <v>1.2</v>
      </c>
      <c r="F262" s="772"/>
      <c r="G262" s="773"/>
      <c r="H262" s="774">
        <v>46.09</v>
      </c>
      <c r="I262" s="775"/>
      <c r="J262" s="84">
        <f>ROUND(H262*E262,2)</f>
        <v>55.31</v>
      </c>
    </row>
    <row r="263" spans="1:10" ht="22.5">
      <c r="A263" s="581" t="s">
        <v>436</v>
      </c>
      <c r="B263" s="57">
        <v>30210</v>
      </c>
      <c r="C263" s="42" t="s">
        <v>637</v>
      </c>
      <c r="D263" s="49" t="s">
        <v>563</v>
      </c>
      <c r="E263" s="771">
        <v>0.15</v>
      </c>
      <c r="F263" s="772"/>
      <c r="G263" s="773"/>
      <c r="H263" s="774">
        <v>25.37</v>
      </c>
      <c r="I263" s="775"/>
      <c r="J263" s="84">
        <f>ROUND(H263*E263,2)</f>
        <v>3.81</v>
      </c>
    </row>
    <row r="264" spans="1:10" ht="15">
      <c r="A264" s="754" t="s">
        <v>77</v>
      </c>
      <c r="B264" s="755"/>
      <c r="C264" s="756"/>
      <c r="D264" s="756"/>
      <c r="E264" s="756"/>
      <c r="F264" s="756"/>
      <c r="G264" s="756"/>
      <c r="H264" s="756"/>
      <c r="I264" s="756"/>
      <c r="J264" s="45">
        <f>SUM(J262:J263)</f>
        <v>59.120000000000005</v>
      </c>
    </row>
    <row r="265" spans="1:10" ht="15">
      <c r="A265" s="46" t="s">
        <v>51</v>
      </c>
      <c r="B265" s="47" t="s">
        <v>52</v>
      </c>
      <c r="C265" s="557" t="s">
        <v>78</v>
      </c>
      <c r="D265" s="557" t="s">
        <v>63</v>
      </c>
      <c r="E265" s="769" t="s">
        <v>73</v>
      </c>
      <c r="F265" s="769"/>
      <c r="G265" s="769"/>
      <c r="H265" s="769" t="s">
        <v>74</v>
      </c>
      <c r="I265" s="769"/>
      <c r="J265" s="559" t="s">
        <v>60</v>
      </c>
    </row>
    <row r="266" spans="1:10" ht="15">
      <c r="A266" s="56"/>
      <c r="B266" s="44"/>
      <c r="C266" s="42"/>
      <c r="D266" s="49"/>
      <c r="E266" s="760"/>
      <c r="F266" s="761"/>
      <c r="G266" s="761"/>
      <c r="H266" s="762"/>
      <c r="I266" s="763"/>
      <c r="J266" s="59"/>
    </row>
    <row r="267" spans="1:10" ht="15">
      <c r="A267" s="754" t="s">
        <v>79</v>
      </c>
      <c r="B267" s="755"/>
      <c r="C267" s="756"/>
      <c r="D267" s="756"/>
      <c r="E267" s="756"/>
      <c r="F267" s="756"/>
      <c r="G267" s="756"/>
      <c r="H267" s="756"/>
      <c r="I267" s="756"/>
      <c r="J267" s="45">
        <f>SUM(J266)</f>
        <v>0</v>
      </c>
    </row>
    <row r="268" spans="1:10" ht="15">
      <c r="A268" s="764" t="s">
        <v>51</v>
      </c>
      <c r="B268" s="766" t="s">
        <v>52</v>
      </c>
      <c r="C268" s="767" t="s">
        <v>80</v>
      </c>
      <c r="D268" s="769" t="s">
        <v>81</v>
      </c>
      <c r="E268" s="769"/>
      <c r="F268" s="769" t="s">
        <v>82</v>
      </c>
      <c r="G268" s="769"/>
      <c r="H268" s="769" t="s">
        <v>74</v>
      </c>
      <c r="I268" s="769"/>
      <c r="J268" s="749" t="s">
        <v>60</v>
      </c>
    </row>
    <row r="269" spans="1:10" ht="15">
      <c r="A269" s="765"/>
      <c r="B269" s="767"/>
      <c r="C269" s="768"/>
      <c r="D269" s="558" t="s">
        <v>83</v>
      </c>
      <c r="E269" s="558" t="s">
        <v>84</v>
      </c>
      <c r="F269" s="770"/>
      <c r="G269" s="770"/>
      <c r="H269" s="770"/>
      <c r="I269" s="770"/>
      <c r="J269" s="750"/>
    </row>
    <row r="270" spans="1:10" ht="15">
      <c r="A270" s="56"/>
      <c r="B270" s="60"/>
      <c r="C270" s="61"/>
      <c r="D270" s="62"/>
      <c r="E270" s="62"/>
      <c r="F270" s="751"/>
      <c r="G270" s="752"/>
      <c r="H270" s="753"/>
      <c r="I270" s="753"/>
      <c r="J270" s="55"/>
    </row>
    <row r="271" spans="1:10" ht="15.75" thickBot="1">
      <c r="A271" s="754" t="s">
        <v>85</v>
      </c>
      <c r="B271" s="755"/>
      <c r="C271" s="756"/>
      <c r="D271" s="756"/>
      <c r="E271" s="756"/>
      <c r="F271" s="756"/>
      <c r="G271" s="756"/>
      <c r="H271" s="756"/>
      <c r="I271" s="756"/>
      <c r="J271" s="45">
        <f>SUM(J270:J270)</f>
        <v>0</v>
      </c>
    </row>
    <row r="272" spans="1:10" ht="15.75" thickBot="1">
      <c r="A272" s="757" t="s">
        <v>86</v>
      </c>
      <c r="B272" s="758"/>
      <c r="C272" s="759"/>
      <c r="D272" s="759"/>
      <c r="E272" s="759"/>
      <c r="F272" s="759"/>
      <c r="G272" s="759"/>
      <c r="H272" s="759"/>
      <c r="I272" s="759"/>
      <c r="J272" s="602">
        <f>J247+J260+J264+J271+J267</f>
        <v>3074.5499999999997</v>
      </c>
    </row>
    <row r="273" spans="1:12" ht="15">
      <c r="A273" s="39" t="s">
        <v>45</v>
      </c>
      <c r="B273" s="601">
        <v>62002</v>
      </c>
      <c r="C273" s="788" t="s">
        <v>525</v>
      </c>
      <c r="D273" s="789"/>
      <c r="E273" s="789"/>
      <c r="F273" s="789"/>
      <c r="G273" s="789"/>
      <c r="H273" s="789"/>
      <c r="I273" s="789"/>
      <c r="J273" s="790"/>
      <c r="K273" t="str">
        <f>H274</f>
        <v>und</v>
      </c>
      <c r="L273" s="274">
        <f>J302</f>
        <v>221.23</v>
      </c>
    </row>
    <row r="274" spans="1:10" ht="23.25" thickBot="1">
      <c r="A274" s="791" t="s">
        <v>47</v>
      </c>
      <c r="B274" s="792"/>
      <c r="C274" s="82" t="s">
        <v>522</v>
      </c>
      <c r="D274" s="793" t="s">
        <v>48</v>
      </c>
      <c r="E274" s="794"/>
      <c r="F274" s="40"/>
      <c r="G274" s="561" t="s">
        <v>49</v>
      </c>
      <c r="H274" s="160" t="s">
        <v>148</v>
      </c>
      <c r="I274" s="795"/>
      <c r="J274" s="796"/>
    </row>
    <row r="275" spans="1:10" ht="15">
      <c r="A275" s="797" t="s">
        <v>51</v>
      </c>
      <c r="B275" s="798" t="s">
        <v>52</v>
      </c>
      <c r="C275" s="798" t="s">
        <v>53</v>
      </c>
      <c r="D275" s="799" t="s">
        <v>54</v>
      </c>
      <c r="E275" s="801" t="s">
        <v>55</v>
      </c>
      <c r="F275" s="802"/>
      <c r="G275" s="803"/>
      <c r="H275" s="801" t="s">
        <v>56</v>
      </c>
      <c r="I275" s="802"/>
      <c r="J275" s="804"/>
    </row>
    <row r="276" spans="1:10" ht="15">
      <c r="A276" s="765"/>
      <c r="B276" s="767"/>
      <c r="C276" s="767"/>
      <c r="D276" s="800"/>
      <c r="E276" s="560" t="s">
        <v>57</v>
      </c>
      <c r="F276" s="560" t="s">
        <v>58</v>
      </c>
      <c r="G276" s="560" t="s">
        <v>59</v>
      </c>
      <c r="H276" s="560" t="s">
        <v>58</v>
      </c>
      <c r="I276" s="560" t="s">
        <v>59</v>
      </c>
      <c r="J276" s="41" t="s">
        <v>60</v>
      </c>
    </row>
    <row r="277" spans="1:10" ht="27" customHeight="1">
      <c r="A277" s="581"/>
      <c r="B277" s="589"/>
      <c r="C277" s="161"/>
      <c r="D277" s="162"/>
      <c r="E277" s="590"/>
      <c r="F277" s="590"/>
      <c r="G277" s="590"/>
      <c r="H277" s="162"/>
      <c r="I277" s="162"/>
      <c r="J277" s="163"/>
    </row>
    <row r="278" spans="1:10" ht="15">
      <c r="A278" s="779" t="s">
        <v>61</v>
      </c>
      <c r="B278" s="780"/>
      <c r="C278" s="780"/>
      <c r="D278" s="780"/>
      <c r="E278" s="780"/>
      <c r="F278" s="780"/>
      <c r="G278" s="780"/>
      <c r="H278" s="780"/>
      <c r="I278" s="755"/>
      <c r="J278" s="45">
        <f>SUM(J277:J277)</f>
        <v>0</v>
      </c>
    </row>
    <row r="279" spans="1:10" ht="22.5">
      <c r="A279" s="46" t="s">
        <v>51</v>
      </c>
      <c r="B279" s="47" t="s">
        <v>52</v>
      </c>
      <c r="C279" s="557" t="s">
        <v>62</v>
      </c>
      <c r="D279" s="557" t="s">
        <v>63</v>
      </c>
      <c r="E279" s="557" t="s">
        <v>19</v>
      </c>
      <c r="F279" s="270" t="s">
        <v>64</v>
      </c>
      <c r="G279" s="270" t="s">
        <v>65</v>
      </c>
      <c r="H279" s="781" t="s">
        <v>66</v>
      </c>
      <c r="I279" s="782"/>
      <c r="J279" s="48" t="s">
        <v>67</v>
      </c>
    </row>
    <row r="280" spans="1:10" ht="22.5">
      <c r="A280" s="581" t="s">
        <v>436</v>
      </c>
      <c r="B280" s="589">
        <v>10115</v>
      </c>
      <c r="C280" s="42" t="s">
        <v>656</v>
      </c>
      <c r="D280" s="49" t="s">
        <v>655</v>
      </c>
      <c r="E280" s="162">
        <v>0.5</v>
      </c>
      <c r="F280" s="35">
        <v>7.43</v>
      </c>
      <c r="G280" s="165">
        <v>1.5727</v>
      </c>
      <c r="H280" s="774">
        <f>F280*(1+G280)</f>
        <v>19.115161</v>
      </c>
      <c r="I280" s="775"/>
      <c r="J280" s="84">
        <f>ROUND(H280*E280,2)</f>
        <v>9.56</v>
      </c>
    </row>
    <row r="281" spans="1:10" ht="15">
      <c r="A281" s="754" t="s">
        <v>68</v>
      </c>
      <c r="B281" s="755"/>
      <c r="C281" s="756"/>
      <c r="D281" s="756"/>
      <c r="E281" s="756"/>
      <c r="F281" s="756"/>
      <c r="G281" s="756"/>
      <c r="H281" s="756"/>
      <c r="I281" s="756"/>
      <c r="J281" s="87">
        <f>SUM(J280:J280)</f>
        <v>9.56</v>
      </c>
    </row>
    <row r="282" spans="1:10" ht="15">
      <c r="A282" s="783" t="s">
        <v>69</v>
      </c>
      <c r="B282" s="784"/>
      <c r="C282" s="784"/>
      <c r="D282" s="784"/>
      <c r="E282" s="784"/>
      <c r="F282" s="784"/>
      <c r="G282" s="784"/>
      <c r="H282" s="784"/>
      <c r="I282" s="166">
        <v>0.05</v>
      </c>
      <c r="J282" s="596">
        <f>ROUND(J281*I282,2)</f>
        <v>0.48</v>
      </c>
    </row>
    <row r="283" spans="1:10" ht="15">
      <c r="A283" s="785" t="s">
        <v>70</v>
      </c>
      <c r="B283" s="786"/>
      <c r="C283" s="787"/>
      <c r="D283" s="787"/>
      <c r="E283" s="787"/>
      <c r="F283" s="787"/>
      <c r="G283" s="787"/>
      <c r="H283" s="787"/>
      <c r="I283" s="787"/>
      <c r="J283" s="597">
        <v>1</v>
      </c>
    </row>
    <row r="284" spans="1:10" ht="15">
      <c r="A284" s="754" t="s">
        <v>71</v>
      </c>
      <c r="B284" s="755"/>
      <c r="C284" s="756"/>
      <c r="D284" s="756"/>
      <c r="E284" s="756"/>
      <c r="F284" s="756"/>
      <c r="G284" s="756"/>
      <c r="H284" s="756"/>
      <c r="I284" s="756"/>
      <c r="J284" s="45">
        <f>ROUND((J278+J281+J282)/J283,2)</f>
        <v>10.04</v>
      </c>
    </row>
    <row r="285" spans="1:10" ht="15">
      <c r="A285" s="46" t="s">
        <v>51</v>
      </c>
      <c r="B285" s="47" t="s">
        <v>52</v>
      </c>
      <c r="C285" s="557" t="s">
        <v>72</v>
      </c>
      <c r="D285" s="557" t="s">
        <v>63</v>
      </c>
      <c r="E285" s="769" t="s">
        <v>73</v>
      </c>
      <c r="F285" s="769"/>
      <c r="G285" s="769"/>
      <c r="H285" s="769" t="s">
        <v>74</v>
      </c>
      <c r="I285" s="769"/>
      <c r="J285" s="559" t="s">
        <v>60</v>
      </c>
    </row>
    <row r="286" spans="1:10" ht="22.5">
      <c r="A286" s="581" t="s">
        <v>145</v>
      </c>
      <c r="B286" s="589">
        <v>425</v>
      </c>
      <c r="C286" s="42" t="s">
        <v>625</v>
      </c>
      <c r="D286" s="49" t="s">
        <v>590</v>
      </c>
      <c r="E286" s="776">
        <v>1</v>
      </c>
      <c r="F286" s="777"/>
      <c r="G286" s="778"/>
      <c r="H286" s="774">
        <v>6.31</v>
      </c>
      <c r="I286" s="775"/>
      <c r="J286" s="598">
        <f>ROUND(H286*E286,2)</f>
        <v>6.31</v>
      </c>
    </row>
    <row r="287" spans="1:10" ht="22.5">
      <c r="A287" s="581" t="s">
        <v>436</v>
      </c>
      <c r="B287" s="589">
        <v>43059</v>
      </c>
      <c r="C287" s="42" t="s">
        <v>596</v>
      </c>
      <c r="D287" s="49" t="s">
        <v>308</v>
      </c>
      <c r="E287" s="776">
        <v>1</v>
      </c>
      <c r="F287" s="777"/>
      <c r="G287" s="778"/>
      <c r="H287" s="774">
        <v>19.58</v>
      </c>
      <c r="I287" s="775"/>
      <c r="J287" s="598">
        <f>ROUND(H287*E287,2)</f>
        <v>19.58</v>
      </c>
    </row>
    <row r="288" spans="1:10" ht="33.75">
      <c r="A288" s="581" t="s">
        <v>145</v>
      </c>
      <c r="B288" s="599">
        <v>1575</v>
      </c>
      <c r="C288" s="42" t="s">
        <v>626</v>
      </c>
      <c r="D288" s="49" t="s">
        <v>590</v>
      </c>
      <c r="E288" s="776">
        <v>1</v>
      </c>
      <c r="F288" s="777"/>
      <c r="G288" s="778"/>
      <c r="H288" s="774">
        <v>2.09</v>
      </c>
      <c r="I288" s="775"/>
      <c r="J288" s="598">
        <f>ROUND(H288*E288,2)</f>
        <v>2.09</v>
      </c>
    </row>
    <row r="289" spans="1:10" ht="22.5">
      <c r="A289" s="581" t="s">
        <v>436</v>
      </c>
      <c r="B289" s="589">
        <v>29093</v>
      </c>
      <c r="C289" s="42" t="s">
        <v>623</v>
      </c>
      <c r="D289" s="49" t="s">
        <v>573</v>
      </c>
      <c r="E289" s="776">
        <v>1</v>
      </c>
      <c r="F289" s="777"/>
      <c r="G289" s="778"/>
      <c r="H289" s="774">
        <v>1.92</v>
      </c>
      <c r="I289" s="775"/>
      <c r="J289" s="598">
        <f>ROUND(H289*E289,2)</f>
        <v>1.92</v>
      </c>
    </row>
    <row r="290" spans="1:10" ht="22.5">
      <c r="A290" s="581" t="s">
        <v>436</v>
      </c>
      <c r="B290" s="589">
        <v>48035</v>
      </c>
      <c r="C290" s="42" t="s">
        <v>605</v>
      </c>
      <c r="D290" s="49" t="s">
        <v>573</v>
      </c>
      <c r="E290" s="776">
        <v>1</v>
      </c>
      <c r="F290" s="777"/>
      <c r="G290" s="778"/>
      <c r="H290" s="774">
        <v>181.29</v>
      </c>
      <c r="I290" s="775"/>
      <c r="J290" s="598">
        <f>ROUND(H290*E290,2)</f>
        <v>181.29</v>
      </c>
    </row>
    <row r="291" spans="1:10" ht="15">
      <c r="A291" s="754" t="s">
        <v>75</v>
      </c>
      <c r="B291" s="755"/>
      <c r="C291" s="756"/>
      <c r="D291" s="756"/>
      <c r="E291" s="756"/>
      <c r="F291" s="756"/>
      <c r="G291" s="756"/>
      <c r="H291" s="756"/>
      <c r="I291" s="756"/>
      <c r="J291" s="45">
        <f>SUM(J286:J290)</f>
        <v>211.19</v>
      </c>
    </row>
    <row r="292" spans="1:10" ht="15">
      <c r="A292" s="46" t="s">
        <v>51</v>
      </c>
      <c r="B292" s="47" t="s">
        <v>52</v>
      </c>
      <c r="C292" s="557" t="s">
        <v>76</v>
      </c>
      <c r="D292" s="557" t="s">
        <v>63</v>
      </c>
      <c r="E292" s="769" t="s">
        <v>73</v>
      </c>
      <c r="F292" s="769"/>
      <c r="G292" s="769"/>
      <c r="H292" s="769" t="s">
        <v>74</v>
      </c>
      <c r="I292" s="769"/>
      <c r="J292" s="559" t="s">
        <v>60</v>
      </c>
    </row>
    <row r="293" spans="1:10" ht="15">
      <c r="A293" s="581"/>
      <c r="B293" s="57"/>
      <c r="C293" s="42"/>
      <c r="D293" s="49"/>
      <c r="E293" s="771"/>
      <c r="F293" s="772"/>
      <c r="G293" s="773"/>
      <c r="H293" s="774"/>
      <c r="I293" s="775"/>
      <c r="J293" s="84"/>
    </row>
    <row r="294" spans="1:10" ht="15">
      <c r="A294" s="754" t="s">
        <v>77</v>
      </c>
      <c r="B294" s="755"/>
      <c r="C294" s="756"/>
      <c r="D294" s="756"/>
      <c r="E294" s="756"/>
      <c r="F294" s="756"/>
      <c r="G294" s="756"/>
      <c r="H294" s="756"/>
      <c r="I294" s="756"/>
      <c r="J294" s="45">
        <f>SUM(J293:J293)</f>
        <v>0</v>
      </c>
    </row>
    <row r="295" spans="1:10" ht="15">
      <c r="A295" s="46" t="s">
        <v>51</v>
      </c>
      <c r="B295" s="47" t="s">
        <v>52</v>
      </c>
      <c r="C295" s="557" t="s">
        <v>78</v>
      </c>
      <c r="D295" s="557" t="s">
        <v>63</v>
      </c>
      <c r="E295" s="769" t="s">
        <v>73</v>
      </c>
      <c r="F295" s="769"/>
      <c r="G295" s="769"/>
      <c r="H295" s="769" t="s">
        <v>74</v>
      </c>
      <c r="I295" s="769"/>
      <c r="J295" s="559" t="s">
        <v>60</v>
      </c>
    </row>
    <row r="296" spans="1:10" ht="15">
      <c r="A296" s="56"/>
      <c r="B296" s="44"/>
      <c r="C296" s="42"/>
      <c r="D296" s="49"/>
      <c r="E296" s="760"/>
      <c r="F296" s="761"/>
      <c r="G296" s="761"/>
      <c r="H296" s="762"/>
      <c r="I296" s="763"/>
      <c r="J296" s="59"/>
    </row>
    <row r="297" spans="1:10" ht="15">
      <c r="A297" s="754" t="s">
        <v>79</v>
      </c>
      <c r="B297" s="755"/>
      <c r="C297" s="756"/>
      <c r="D297" s="756"/>
      <c r="E297" s="756"/>
      <c r="F297" s="756"/>
      <c r="G297" s="756"/>
      <c r="H297" s="756"/>
      <c r="I297" s="756"/>
      <c r="J297" s="45">
        <f>SUM(J296)</f>
        <v>0</v>
      </c>
    </row>
    <row r="298" spans="1:10" ht="15">
      <c r="A298" s="764" t="s">
        <v>51</v>
      </c>
      <c r="B298" s="766" t="s">
        <v>52</v>
      </c>
      <c r="C298" s="767" t="s">
        <v>80</v>
      </c>
      <c r="D298" s="769" t="s">
        <v>81</v>
      </c>
      <c r="E298" s="769"/>
      <c r="F298" s="769" t="s">
        <v>82</v>
      </c>
      <c r="G298" s="769"/>
      <c r="H298" s="769" t="s">
        <v>74</v>
      </c>
      <c r="I298" s="769"/>
      <c r="J298" s="749" t="s">
        <v>60</v>
      </c>
    </row>
    <row r="299" spans="1:10" ht="15">
      <c r="A299" s="765"/>
      <c r="B299" s="767"/>
      <c r="C299" s="768"/>
      <c r="D299" s="558" t="s">
        <v>83</v>
      </c>
      <c r="E299" s="558" t="s">
        <v>84</v>
      </c>
      <c r="F299" s="770"/>
      <c r="G299" s="770"/>
      <c r="H299" s="770"/>
      <c r="I299" s="770"/>
      <c r="J299" s="750"/>
    </row>
    <row r="300" spans="1:10" ht="15">
      <c r="A300" s="56"/>
      <c r="B300" s="60"/>
      <c r="C300" s="61"/>
      <c r="D300" s="62"/>
      <c r="E300" s="62"/>
      <c r="F300" s="751"/>
      <c r="G300" s="752"/>
      <c r="H300" s="753"/>
      <c r="I300" s="753"/>
      <c r="J300" s="55"/>
    </row>
    <row r="301" spans="1:10" ht="15.75" thickBot="1">
      <c r="A301" s="754" t="s">
        <v>85</v>
      </c>
      <c r="B301" s="755"/>
      <c r="C301" s="756"/>
      <c r="D301" s="756"/>
      <c r="E301" s="756"/>
      <c r="F301" s="756"/>
      <c r="G301" s="756"/>
      <c r="H301" s="756"/>
      <c r="I301" s="756"/>
      <c r="J301" s="45">
        <f>SUM(J300:J300)</f>
        <v>0</v>
      </c>
    </row>
    <row r="302" spans="1:10" ht="15.75" thickBot="1">
      <c r="A302" s="757" t="s">
        <v>86</v>
      </c>
      <c r="B302" s="758"/>
      <c r="C302" s="759"/>
      <c r="D302" s="759"/>
      <c r="E302" s="759"/>
      <c r="F302" s="759"/>
      <c r="G302" s="759"/>
      <c r="H302" s="759"/>
      <c r="I302" s="759"/>
      <c r="J302" s="602">
        <f>J284+J291+J294+J301+J297</f>
        <v>221.23</v>
      </c>
    </row>
    <row r="303" spans="1:12" ht="30" customHeight="1">
      <c r="A303" s="39" t="s">
        <v>45</v>
      </c>
      <c r="B303" s="601">
        <v>63001</v>
      </c>
      <c r="C303" s="788" t="s">
        <v>526</v>
      </c>
      <c r="D303" s="789"/>
      <c r="E303" s="789"/>
      <c r="F303" s="789"/>
      <c r="G303" s="789"/>
      <c r="H303" s="789"/>
      <c r="I303" s="789"/>
      <c r="J303" s="790"/>
      <c r="K303" t="str">
        <f>H304</f>
        <v>m</v>
      </c>
      <c r="L303" s="274">
        <f>J329</f>
        <v>29.330000000000002</v>
      </c>
    </row>
    <row r="304" spans="1:10" ht="15.75" thickBot="1">
      <c r="A304" s="791" t="s">
        <v>47</v>
      </c>
      <c r="B304" s="792"/>
      <c r="C304" s="82" t="s">
        <v>527</v>
      </c>
      <c r="D304" s="793" t="s">
        <v>48</v>
      </c>
      <c r="E304" s="794"/>
      <c r="F304" s="40"/>
      <c r="G304" s="561" t="s">
        <v>49</v>
      </c>
      <c r="H304" s="160" t="s">
        <v>186</v>
      </c>
      <c r="I304" s="795"/>
      <c r="J304" s="796"/>
    </row>
    <row r="305" spans="1:10" ht="15">
      <c r="A305" s="797" t="s">
        <v>51</v>
      </c>
      <c r="B305" s="798" t="s">
        <v>52</v>
      </c>
      <c r="C305" s="798" t="s">
        <v>53</v>
      </c>
      <c r="D305" s="799" t="s">
        <v>54</v>
      </c>
      <c r="E305" s="801" t="s">
        <v>55</v>
      </c>
      <c r="F305" s="802"/>
      <c r="G305" s="803"/>
      <c r="H305" s="801" t="s">
        <v>56</v>
      </c>
      <c r="I305" s="802"/>
      <c r="J305" s="804"/>
    </row>
    <row r="306" spans="1:10" ht="15">
      <c r="A306" s="765"/>
      <c r="B306" s="767"/>
      <c r="C306" s="767"/>
      <c r="D306" s="800"/>
      <c r="E306" s="560" t="s">
        <v>57</v>
      </c>
      <c r="F306" s="560" t="s">
        <v>58</v>
      </c>
      <c r="G306" s="560" t="s">
        <v>59</v>
      </c>
      <c r="H306" s="560" t="s">
        <v>58</v>
      </c>
      <c r="I306" s="560" t="s">
        <v>59</v>
      </c>
      <c r="J306" s="41" t="s">
        <v>60</v>
      </c>
    </row>
    <row r="307" spans="1:10" ht="15">
      <c r="A307" s="581"/>
      <c r="B307" s="589"/>
      <c r="C307" s="161"/>
      <c r="D307" s="162"/>
      <c r="E307" s="590"/>
      <c r="F307" s="590"/>
      <c r="G307" s="590"/>
      <c r="H307" s="162"/>
      <c r="I307" s="162"/>
      <c r="J307" s="163"/>
    </row>
    <row r="308" spans="1:10" ht="15">
      <c r="A308" s="779" t="s">
        <v>61</v>
      </c>
      <c r="B308" s="780"/>
      <c r="C308" s="780"/>
      <c r="D308" s="780"/>
      <c r="E308" s="780"/>
      <c r="F308" s="780"/>
      <c r="G308" s="780"/>
      <c r="H308" s="780"/>
      <c r="I308" s="755"/>
      <c r="J308" s="45">
        <f>SUM(J307:J307)</f>
        <v>0</v>
      </c>
    </row>
    <row r="309" spans="1:10" ht="22.5">
      <c r="A309" s="46" t="s">
        <v>51</v>
      </c>
      <c r="B309" s="47" t="s">
        <v>52</v>
      </c>
      <c r="C309" s="557" t="s">
        <v>62</v>
      </c>
      <c r="D309" s="557" t="s">
        <v>63</v>
      </c>
      <c r="E309" s="557" t="s">
        <v>19</v>
      </c>
      <c r="F309" s="270" t="s">
        <v>64</v>
      </c>
      <c r="G309" s="270" t="s">
        <v>65</v>
      </c>
      <c r="H309" s="781" t="s">
        <v>66</v>
      </c>
      <c r="I309" s="782"/>
      <c r="J309" s="48" t="s">
        <v>67</v>
      </c>
    </row>
    <row r="310" spans="1:10" ht="22.5">
      <c r="A310" s="581" t="s">
        <v>436</v>
      </c>
      <c r="B310" s="589">
        <v>10101</v>
      </c>
      <c r="C310" s="42" t="s">
        <v>654</v>
      </c>
      <c r="D310" s="49" t="s">
        <v>655</v>
      </c>
      <c r="E310" s="162">
        <v>0.15</v>
      </c>
      <c r="F310" s="35">
        <v>6.27</v>
      </c>
      <c r="G310" s="165">
        <v>1.5727</v>
      </c>
      <c r="H310" s="774">
        <f>F310*(1+G310)</f>
        <v>16.130829</v>
      </c>
      <c r="I310" s="775"/>
      <c r="J310" s="84">
        <f>ROUND(H310*E310,2)</f>
        <v>2.42</v>
      </c>
    </row>
    <row r="311" spans="1:10" ht="22.5">
      <c r="A311" s="581" t="s">
        <v>436</v>
      </c>
      <c r="B311" s="589">
        <v>10115</v>
      </c>
      <c r="C311" s="42" t="s">
        <v>656</v>
      </c>
      <c r="D311" s="49" t="s">
        <v>655</v>
      </c>
      <c r="E311" s="162">
        <v>0.15</v>
      </c>
      <c r="F311" s="35">
        <v>7.43</v>
      </c>
      <c r="G311" s="165">
        <v>1.5727</v>
      </c>
      <c r="H311" s="774">
        <f>F311*(1+G311)</f>
        <v>19.115161</v>
      </c>
      <c r="I311" s="775"/>
      <c r="J311" s="84">
        <f>ROUND(H311*E311,2)</f>
        <v>2.87</v>
      </c>
    </row>
    <row r="312" spans="1:10" ht="15">
      <c r="A312" s="754" t="s">
        <v>68</v>
      </c>
      <c r="B312" s="755"/>
      <c r="C312" s="756"/>
      <c r="D312" s="756"/>
      <c r="E312" s="756"/>
      <c r="F312" s="756"/>
      <c r="G312" s="756"/>
      <c r="H312" s="756"/>
      <c r="I312" s="756"/>
      <c r="J312" s="87">
        <f>SUM(J310:J311)</f>
        <v>5.29</v>
      </c>
    </row>
    <row r="313" spans="1:10" ht="15">
      <c r="A313" s="783" t="s">
        <v>69</v>
      </c>
      <c r="B313" s="784"/>
      <c r="C313" s="784"/>
      <c r="D313" s="784"/>
      <c r="E313" s="784"/>
      <c r="F313" s="784"/>
      <c r="G313" s="784"/>
      <c r="H313" s="784"/>
      <c r="I313" s="166">
        <v>0.05</v>
      </c>
      <c r="J313" s="596">
        <f>ROUND(J312*I313,2)</f>
        <v>0.26</v>
      </c>
    </row>
    <row r="314" spans="1:10" ht="15">
      <c r="A314" s="785" t="s">
        <v>70</v>
      </c>
      <c r="B314" s="786"/>
      <c r="C314" s="787"/>
      <c r="D314" s="787"/>
      <c r="E314" s="787"/>
      <c r="F314" s="787"/>
      <c r="G314" s="787"/>
      <c r="H314" s="787"/>
      <c r="I314" s="787"/>
      <c r="J314" s="597">
        <v>1</v>
      </c>
    </row>
    <row r="315" spans="1:10" ht="15">
      <c r="A315" s="754" t="s">
        <v>71</v>
      </c>
      <c r="B315" s="755"/>
      <c r="C315" s="756"/>
      <c r="D315" s="756"/>
      <c r="E315" s="756"/>
      <c r="F315" s="756"/>
      <c r="G315" s="756"/>
      <c r="H315" s="756"/>
      <c r="I315" s="756"/>
      <c r="J315" s="45">
        <f>ROUND((J308+J312+J313)/J314,2)</f>
        <v>5.55</v>
      </c>
    </row>
    <row r="316" spans="1:10" ht="15">
      <c r="A316" s="46" t="s">
        <v>51</v>
      </c>
      <c r="B316" s="47" t="s">
        <v>52</v>
      </c>
      <c r="C316" s="557" t="s">
        <v>72</v>
      </c>
      <c r="D316" s="557" t="s">
        <v>63</v>
      </c>
      <c r="E316" s="769" t="s">
        <v>73</v>
      </c>
      <c r="F316" s="769"/>
      <c r="G316" s="769"/>
      <c r="H316" s="769" t="s">
        <v>74</v>
      </c>
      <c r="I316" s="769"/>
      <c r="J316" s="559" t="s">
        <v>60</v>
      </c>
    </row>
    <row r="317" spans="1:10" ht="22.5">
      <c r="A317" s="581" t="s">
        <v>436</v>
      </c>
      <c r="B317" s="589">
        <v>42588</v>
      </c>
      <c r="C317" s="42" t="s">
        <v>627</v>
      </c>
      <c r="D317" s="49" t="s">
        <v>308</v>
      </c>
      <c r="E317" s="776">
        <v>1</v>
      </c>
      <c r="F317" s="777"/>
      <c r="G317" s="778"/>
      <c r="H317" s="774">
        <v>4.18</v>
      </c>
      <c r="I317" s="775"/>
      <c r="J317" s="598">
        <f>ROUND(H317*E317,2)</f>
        <v>4.18</v>
      </c>
    </row>
    <row r="318" spans="1:10" ht="15">
      <c r="A318" s="754" t="s">
        <v>75</v>
      </c>
      <c r="B318" s="755"/>
      <c r="C318" s="756"/>
      <c r="D318" s="756"/>
      <c r="E318" s="756"/>
      <c r="F318" s="756"/>
      <c r="G318" s="756"/>
      <c r="H318" s="756"/>
      <c r="I318" s="756"/>
      <c r="J318" s="45">
        <f>SUM(J317:J317)</f>
        <v>4.18</v>
      </c>
    </row>
    <row r="319" spans="1:10" ht="15">
      <c r="A319" s="46" t="s">
        <v>51</v>
      </c>
      <c r="B319" s="47" t="s">
        <v>52</v>
      </c>
      <c r="C319" s="557" t="s">
        <v>76</v>
      </c>
      <c r="D319" s="557" t="s">
        <v>63</v>
      </c>
      <c r="E319" s="769" t="s">
        <v>73</v>
      </c>
      <c r="F319" s="769"/>
      <c r="G319" s="769"/>
      <c r="H319" s="769" t="s">
        <v>74</v>
      </c>
      <c r="I319" s="769"/>
      <c r="J319" s="559" t="s">
        <v>60</v>
      </c>
    </row>
    <row r="320" spans="1:10" ht="22.5">
      <c r="A320" s="581" t="s">
        <v>436</v>
      </c>
      <c r="B320" s="57">
        <v>142204</v>
      </c>
      <c r="C320" s="42" t="s">
        <v>638</v>
      </c>
      <c r="D320" s="49" t="s">
        <v>186</v>
      </c>
      <c r="E320" s="771">
        <v>1</v>
      </c>
      <c r="F320" s="772"/>
      <c r="G320" s="773"/>
      <c r="H320" s="774">
        <v>19.6</v>
      </c>
      <c r="I320" s="775"/>
      <c r="J320" s="84">
        <f>ROUND(H320*E320,2)</f>
        <v>19.6</v>
      </c>
    </row>
    <row r="321" spans="1:10" ht="15">
      <c r="A321" s="754" t="s">
        <v>77</v>
      </c>
      <c r="B321" s="755"/>
      <c r="C321" s="756"/>
      <c r="D321" s="756"/>
      <c r="E321" s="756"/>
      <c r="F321" s="756"/>
      <c r="G321" s="756"/>
      <c r="H321" s="756"/>
      <c r="I321" s="756"/>
      <c r="J321" s="45">
        <f>SUM(J320:J320)</f>
        <v>19.6</v>
      </c>
    </row>
    <row r="322" spans="1:10" ht="15">
      <c r="A322" s="46" t="s">
        <v>51</v>
      </c>
      <c r="B322" s="47" t="s">
        <v>52</v>
      </c>
      <c r="C322" s="557" t="s">
        <v>78</v>
      </c>
      <c r="D322" s="557" t="s">
        <v>63</v>
      </c>
      <c r="E322" s="769" t="s">
        <v>73</v>
      </c>
      <c r="F322" s="769"/>
      <c r="G322" s="769"/>
      <c r="H322" s="769" t="s">
        <v>74</v>
      </c>
      <c r="I322" s="769"/>
      <c r="J322" s="559" t="s">
        <v>60</v>
      </c>
    </row>
    <row r="323" spans="1:10" ht="15">
      <c r="A323" s="56"/>
      <c r="B323" s="44"/>
      <c r="C323" s="42"/>
      <c r="D323" s="49"/>
      <c r="E323" s="760"/>
      <c r="F323" s="761"/>
      <c r="G323" s="761"/>
      <c r="H323" s="762"/>
      <c r="I323" s="763"/>
      <c r="J323" s="59"/>
    </row>
    <row r="324" spans="1:10" ht="15">
      <c r="A324" s="754" t="s">
        <v>79</v>
      </c>
      <c r="B324" s="755"/>
      <c r="C324" s="756"/>
      <c r="D324" s="756"/>
      <c r="E324" s="756"/>
      <c r="F324" s="756"/>
      <c r="G324" s="756"/>
      <c r="H324" s="756"/>
      <c r="I324" s="756"/>
      <c r="J324" s="45">
        <f>SUM(J323)</f>
        <v>0</v>
      </c>
    </row>
    <row r="325" spans="1:10" ht="15">
      <c r="A325" s="764" t="s">
        <v>51</v>
      </c>
      <c r="B325" s="766" t="s">
        <v>52</v>
      </c>
      <c r="C325" s="767" t="s">
        <v>80</v>
      </c>
      <c r="D325" s="769" t="s">
        <v>81</v>
      </c>
      <c r="E325" s="769"/>
      <c r="F325" s="769" t="s">
        <v>82</v>
      </c>
      <c r="G325" s="769"/>
      <c r="H325" s="769" t="s">
        <v>74</v>
      </c>
      <c r="I325" s="769"/>
      <c r="J325" s="749" t="s">
        <v>60</v>
      </c>
    </row>
    <row r="326" spans="1:10" ht="15">
      <c r="A326" s="765"/>
      <c r="B326" s="767"/>
      <c r="C326" s="768"/>
      <c r="D326" s="558" t="s">
        <v>83</v>
      </c>
      <c r="E326" s="558" t="s">
        <v>84</v>
      </c>
      <c r="F326" s="770"/>
      <c r="G326" s="770"/>
      <c r="H326" s="770"/>
      <c r="I326" s="770"/>
      <c r="J326" s="750"/>
    </row>
    <row r="327" spans="1:10" ht="15">
      <c r="A327" s="56"/>
      <c r="B327" s="60"/>
      <c r="C327" s="61"/>
      <c r="D327" s="62"/>
      <c r="E327" s="62"/>
      <c r="F327" s="751"/>
      <c r="G327" s="752"/>
      <c r="H327" s="753"/>
      <c r="I327" s="753"/>
      <c r="J327" s="55"/>
    </row>
    <row r="328" spans="1:10" ht="15.75" thickBot="1">
      <c r="A328" s="754" t="s">
        <v>85</v>
      </c>
      <c r="B328" s="755"/>
      <c r="C328" s="756"/>
      <c r="D328" s="756"/>
      <c r="E328" s="756"/>
      <c r="F328" s="756"/>
      <c r="G328" s="756"/>
      <c r="H328" s="756"/>
      <c r="I328" s="756"/>
      <c r="J328" s="45">
        <f>SUM(J327:J327)</f>
        <v>0</v>
      </c>
    </row>
    <row r="329" spans="1:10" ht="15.75" thickBot="1">
      <c r="A329" s="757" t="s">
        <v>86</v>
      </c>
      <c r="B329" s="758"/>
      <c r="C329" s="759"/>
      <c r="D329" s="759"/>
      <c r="E329" s="759"/>
      <c r="F329" s="759"/>
      <c r="G329" s="759"/>
      <c r="H329" s="759"/>
      <c r="I329" s="759"/>
      <c r="J329" s="602">
        <f>J315+J318+J321+J328+J324</f>
        <v>29.330000000000002</v>
      </c>
    </row>
    <row r="330" spans="1:12" ht="15">
      <c r="A330" s="39" t="s">
        <v>45</v>
      </c>
      <c r="B330" s="601">
        <v>64001</v>
      </c>
      <c r="C330" s="788" t="s">
        <v>528</v>
      </c>
      <c r="D330" s="789"/>
      <c r="E330" s="789"/>
      <c r="F330" s="789"/>
      <c r="G330" s="789"/>
      <c r="H330" s="789"/>
      <c r="I330" s="789"/>
      <c r="J330" s="790"/>
      <c r="K330" t="str">
        <f>H331</f>
        <v>m</v>
      </c>
      <c r="L330" s="274">
        <f>J356</f>
        <v>15.1</v>
      </c>
    </row>
    <row r="331" spans="1:10" ht="15.75" thickBot="1">
      <c r="A331" s="791" t="s">
        <v>47</v>
      </c>
      <c r="B331" s="792"/>
      <c r="C331" s="82" t="s">
        <v>527</v>
      </c>
      <c r="D331" s="793" t="s">
        <v>48</v>
      </c>
      <c r="E331" s="794"/>
      <c r="F331" s="40"/>
      <c r="G331" s="561" t="s">
        <v>49</v>
      </c>
      <c r="H331" s="160" t="s">
        <v>186</v>
      </c>
      <c r="I331" s="795"/>
      <c r="J331" s="796"/>
    </row>
    <row r="332" spans="1:10" ht="15">
      <c r="A332" s="797" t="s">
        <v>51</v>
      </c>
      <c r="B332" s="798" t="s">
        <v>52</v>
      </c>
      <c r="C332" s="798" t="s">
        <v>53</v>
      </c>
      <c r="D332" s="799" t="s">
        <v>54</v>
      </c>
      <c r="E332" s="801" t="s">
        <v>55</v>
      </c>
      <c r="F332" s="802"/>
      <c r="G332" s="803"/>
      <c r="H332" s="801" t="s">
        <v>56</v>
      </c>
      <c r="I332" s="802"/>
      <c r="J332" s="804"/>
    </row>
    <row r="333" spans="1:10" ht="15">
      <c r="A333" s="765"/>
      <c r="B333" s="767"/>
      <c r="C333" s="767"/>
      <c r="D333" s="800"/>
      <c r="E333" s="560" t="s">
        <v>57</v>
      </c>
      <c r="F333" s="560" t="s">
        <v>58</v>
      </c>
      <c r="G333" s="560" t="s">
        <v>59</v>
      </c>
      <c r="H333" s="560" t="s">
        <v>58</v>
      </c>
      <c r="I333" s="560" t="s">
        <v>59</v>
      </c>
      <c r="J333" s="41" t="s">
        <v>60</v>
      </c>
    </row>
    <row r="334" spans="1:10" ht="15">
      <c r="A334" s="581"/>
      <c r="B334" s="589"/>
      <c r="C334" s="161"/>
      <c r="D334" s="162"/>
      <c r="E334" s="590"/>
      <c r="F334" s="590"/>
      <c r="G334" s="590"/>
      <c r="H334" s="162"/>
      <c r="I334" s="162"/>
      <c r="J334" s="163"/>
    </row>
    <row r="335" spans="1:10" ht="15">
      <c r="A335" s="779" t="s">
        <v>61</v>
      </c>
      <c r="B335" s="780"/>
      <c r="C335" s="780"/>
      <c r="D335" s="780"/>
      <c r="E335" s="780"/>
      <c r="F335" s="780"/>
      <c r="G335" s="780"/>
      <c r="H335" s="780"/>
      <c r="I335" s="755"/>
      <c r="J335" s="45">
        <f>SUM(J334:J334)</f>
        <v>0</v>
      </c>
    </row>
    <row r="336" spans="1:10" ht="22.5">
      <c r="A336" s="46" t="s">
        <v>51</v>
      </c>
      <c r="B336" s="47" t="s">
        <v>52</v>
      </c>
      <c r="C336" s="557" t="s">
        <v>62</v>
      </c>
      <c r="D336" s="557" t="s">
        <v>63</v>
      </c>
      <c r="E336" s="557" t="s">
        <v>19</v>
      </c>
      <c r="F336" s="270" t="s">
        <v>64</v>
      </c>
      <c r="G336" s="270" t="s">
        <v>65</v>
      </c>
      <c r="H336" s="781" t="s">
        <v>66</v>
      </c>
      <c r="I336" s="782"/>
      <c r="J336" s="48" t="s">
        <v>67</v>
      </c>
    </row>
    <row r="337" spans="1:10" ht="22.5">
      <c r="A337" s="581" t="s">
        <v>436</v>
      </c>
      <c r="B337" s="589">
        <v>10101</v>
      </c>
      <c r="C337" s="42" t="s">
        <v>654</v>
      </c>
      <c r="D337" s="49" t="s">
        <v>655</v>
      </c>
      <c r="E337" s="162">
        <v>0.16</v>
      </c>
      <c r="F337" s="35">
        <v>6.27</v>
      </c>
      <c r="G337" s="165">
        <v>1.5727</v>
      </c>
      <c r="H337" s="774">
        <f>F337*(1+G337)</f>
        <v>16.130829</v>
      </c>
      <c r="I337" s="775"/>
      <c r="J337" s="84">
        <f>ROUND(H337*E337,2)</f>
        <v>2.58</v>
      </c>
    </row>
    <row r="338" spans="1:10" ht="22.5">
      <c r="A338" s="581" t="s">
        <v>436</v>
      </c>
      <c r="B338" s="589">
        <v>10115</v>
      </c>
      <c r="C338" s="42" t="s">
        <v>656</v>
      </c>
      <c r="D338" s="49" t="s">
        <v>655</v>
      </c>
      <c r="E338" s="162">
        <v>0.16</v>
      </c>
      <c r="F338" s="35">
        <v>7.43</v>
      </c>
      <c r="G338" s="165">
        <v>1.5727</v>
      </c>
      <c r="H338" s="774">
        <f>F338*(1+G338)</f>
        <v>19.115161</v>
      </c>
      <c r="I338" s="775"/>
      <c r="J338" s="84">
        <f>ROUND(H338*E338,2)</f>
        <v>3.06</v>
      </c>
    </row>
    <row r="339" spans="1:10" ht="15">
      <c r="A339" s="754" t="s">
        <v>68</v>
      </c>
      <c r="B339" s="755"/>
      <c r="C339" s="756"/>
      <c r="D339" s="756"/>
      <c r="E339" s="756"/>
      <c r="F339" s="756"/>
      <c r="G339" s="756"/>
      <c r="H339" s="756"/>
      <c r="I339" s="756"/>
      <c r="J339" s="87">
        <f>SUM(J337:J338)</f>
        <v>5.640000000000001</v>
      </c>
    </row>
    <row r="340" spans="1:10" ht="15">
      <c r="A340" s="783" t="s">
        <v>69</v>
      </c>
      <c r="B340" s="784"/>
      <c r="C340" s="784"/>
      <c r="D340" s="784"/>
      <c r="E340" s="784"/>
      <c r="F340" s="784"/>
      <c r="G340" s="784"/>
      <c r="H340" s="784"/>
      <c r="I340" s="166">
        <v>0.05</v>
      </c>
      <c r="J340" s="596">
        <f>ROUND(J339*I340,2)</f>
        <v>0.28</v>
      </c>
    </row>
    <row r="341" spans="1:10" ht="15">
      <c r="A341" s="785" t="s">
        <v>70</v>
      </c>
      <c r="B341" s="786"/>
      <c r="C341" s="787"/>
      <c r="D341" s="787"/>
      <c r="E341" s="787"/>
      <c r="F341" s="787"/>
      <c r="G341" s="787"/>
      <c r="H341" s="787"/>
      <c r="I341" s="787"/>
      <c r="J341" s="597">
        <v>1</v>
      </c>
    </row>
    <row r="342" spans="1:10" ht="15">
      <c r="A342" s="754" t="s">
        <v>71</v>
      </c>
      <c r="B342" s="755"/>
      <c r="C342" s="756"/>
      <c r="D342" s="756"/>
      <c r="E342" s="756"/>
      <c r="F342" s="756"/>
      <c r="G342" s="756"/>
      <c r="H342" s="756"/>
      <c r="I342" s="756"/>
      <c r="J342" s="45">
        <f>ROUND((J335+J339+J340)/J341,2)</f>
        <v>5.92</v>
      </c>
    </row>
    <row r="343" spans="1:10" ht="15">
      <c r="A343" s="46" t="s">
        <v>51</v>
      </c>
      <c r="B343" s="47" t="s">
        <v>52</v>
      </c>
      <c r="C343" s="557" t="s">
        <v>72</v>
      </c>
      <c r="D343" s="557" t="s">
        <v>63</v>
      </c>
      <c r="E343" s="769" t="s">
        <v>73</v>
      </c>
      <c r="F343" s="769"/>
      <c r="G343" s="769"/>
      <c r="H343" s="769" t="s">
        <v>74</v>
      </c>
      <c r="I343" s="769"/>
      <c r="J343" s="559" t="s">
        <v>60</v>
      </c>
    </row>
    <row r="344" spans="1:10" ht="22.5">
      <c r="A344" s="581" t="s">
        <v>436</v>
      </c>
      <c r="B344" s="599">
        <v>43006</v>
      </c>
      <c r="C344" s="42" t="s">
        <v>628</v>
      </c>
      <c r="D344" s="49" t="s">
        <v>308</v>
      </c>
      <c r="E344" s="776">
        <v>2.04</v>
      </c>
      <c r="F344" s="777"/>
      <c r="G344" s="778"/>
      <c r="H344" s="774">
        <v>4.5</v>
      </c>
      <c r="I344" s="775"/>
      <c r="J344" s="598">
        <f>ROUND(H344*E344,2)</f>
        <v>9.18</v>
      </c>
    </row>
    <row r="345" spans="1:10" ht="15">
      <c r="A345" s="754" t="s">
        <v>75</v>
      </c>
      <c r="B345" s="755"/>
      <c r="C345" s="756"/>
      <c r="D345" s="756"/>
      <c r="E345" s="756"/>
      <c r="F345" s="756"/>
      <c r="G345" s="756"/>
      <c r="H345" s="756"/>
      <c r="I345" s="756"/>
      <c r="J345" s="45">
        <f>SUM(J344:J344)</f>
        <v>9.18</v>
      </c>
    </row>
    <row r="346" spans="1:10" ht="15">
      <c r="A346" s="46" t="s">
        <v>51</v>
      </c>
      <c r="B346" s="47" t="s">
        <v>52</v>
      </c>
      <c r="C346" s="557" t="s">
        <v>76</v>
      </c>
      <c r="D346" s="557" t="s">
        <v>63</v>
      </c>
      <c r="E346" s="769" t="s">
        <v>73</v>
      </c>
      <c r="F346" s="769"/>
      <c r="G346" s="769"/>
      <c r="H346" s="769" t="s">
        <v>74</v>
      </c>
      <c r="I346" s="769"/>
      <c r="J346" s="559" t="s">
        <v>60</v>
      </c>
    </row>
    <row r="347" spans="1:10" ht="15">
      <c r="A347" s="581"/>
      <c r="B347" s="57"/>
      <c r="C347" s="42"/>
      <c r="D347" s="49"/>
      <c r="E347" s="771"/>
      <c r="F347" s="772"/>
      <c r="G347" s="773"/>
      <c r="H347" s="774"/>
      <c r="I347" s="775"/>
      <c r="J347" s="84"/>
    </row>
    <row r="348" spans="1:10" ht="15">
      <c r="A348" s="754" t="s">
        <v>77</v>
      </c>
      <c r="B348" s="755"/>
      <c r="C348" s="756"/>
      <c r="D348" s="756"/>
      <c r="E348" s="756"/>
      <c r="F348" s="756"/>
      <c r="G348" s="756"/>
      <c r="H348" s="756"/>
      <c r="I348" s="756"/>
      <c r="J348" s="45">
        <f>SUM(J347:J347)</f>
        <v>0</v>
      </c>
    </row>
    <row r="349" spans="1:10" ht="15">
      <c r="A349" s="46" t="s">
        <v>51</v>
      </c>
      <c r="B349" s="47" t="s">
        <v>52</v>
      </c>
      <c r="C349" s="557" t="s">
        <v>78</v>
      </c>
      <c r="D349" s="557" t="s">
        <v>63</v>
      </c>
      <c r="E349" s="769" t="s">
        <v>73</v>
      </c>
      <c r="F349" s="769"/>
      <c r="G349" s="769"/>
      <c r="H349" s="769" t="s">
        <v>74</v>
      </c>
      <c r="I349" s="769"/>
      <c r="J349" s="559" t="s">
        <v>60</v>
      </c>
    </row>
    <row r="350" spans="1:10" ht="15">
      <c r="A350" s="56"/>
      <c r="B350" s="44"/>
      <c r="C350" s="42"/>
      <c r="D350" s="49"/>
      <c r="E350" s="760"/>
      <c r="F350" s="761"/>
      <c r="G350" s="761"/>
      <c r="H350" s="762"/>
      <c r="I350" s="763"/>
      <c r="J350" s="59"/>
    </row>
    <row r="351" spans="1:10" ht="15">
      <c r="A351" s="754" t="s">
        <v>79</v>
      </c>
      <c r="B351" s="755"/>
      <c r="C351" s="756"/>
      <c r="D351" s="756"/>
      <c r="E351" s="756"/>
      <c r="F351" s="756"/>
      <c r="G351" s="756"/>
      <c r="H351" s="756"/>
      <c r="I351" s="756"/>
      <c r="J351" s="45">
        <f>SUM(J350)</f>
        <v>0</v>
      </c>
    </row>
    <row r="352" spans="1:10" ht="15">
      <c r="A352" s="764" t="s">
        <v>51</v>
      </c>
      <c r="B352" s="766" t="s">
        <v>52</v>
      </c>
      <c r="C352" s="767" t="s">
        <v>80</v>
      </c>
      <c r="D352" s="769" t="s">
        <v>81</v>
      </c>
      <c r="E352" s="769"/>
      <c r="F352" s="769" t="s">
        <v>82</v>
      </c>
      <c r="G352" s="769"/>
      <c r="H352" s="769" t="s">
        <v>74</v>
      </c>
      <c r="I352" s="769"/>
      <c r="J352" s="749" t="s">
        <v>60</v>
      </c>
    </row>
    <row r="353" spans="1:10" ht="15">
      <c r="A353" s="765"/>
      <c r="B353" s="767"/>
      <c r="C353" s="768"/>
      <c r="D353" s="558" t="s">
        <v>83</v>
      </c>
      <c r="E353" s="558" t="s">
        <v>84</v>
      </c>
      <c r="F353" s="770"/>
      <c r="G353" s="770"/>
      <c r="H353" s="770"/>
      <c r="I353" s="770"/>
      <c r="J353" s="750"/>
    </row>
    <row r="354" spans="1:10" ht="15">
      <c r="A354" s="56"/>
      <c r="B354" s="60"/>
      <c r="C354" s="61"/>
      <c r="D354" s="62"/>
      <c r="E354" s="62"/>
      <c r="F354" s="751"/>
      <c r="G354" s="752"/>
      <c r="H354" s="753"/>
      <c r="I354" s="753"/>
      <c r="J354" s="55"/>
    </row>
    <row r="355" spans="1:10" ht="15.75" thickBot="1">
      <c r="A355" s="754" t="s">
        <v>85</v>
      </c>
      <c r="B355" s="755"/>
      <c r="C355" s="756"/>
      <c r="D355" s="756"/>
      <c r="E355" s="756"/>
      <c r="F355" s="756"/>
      <c r="G355" s="756"/>
      <c r="H355" s="756"/>
      <c r="I355" s="756"/>
      <c r="J355" s="45">
        <f>SUM(J354:J354)</f>
        <v>0</v>
      </c>
    </row>
    <row r="356" spans="1:10" ht="15.75" thickBot="1">
      <c r="A356" s="757" t="s">
        <v>86</v>
      </c>
      <c r="B356" s="758"/>
      <c r="C356" s="759"/>
      <c r="D356" s="759"/>
      <c r="E356" s="759"/>
      <c r="F356" s="759"/>
      <c r="G356" s="759"/>
      <c r="H356" s="759"/>
      <c r="I356" s="759"/>
      <c r="J356" s="602">
        <f>J342+J345+J348+J355+J351</f>
        <v>15.1</v>
      </c>
    </row>
    <row r="357" spans="1:12" ht="15">
      <c r="A357" s="39" t="s">
        <v>45</v>
      </c>
      <c r="B357" s="601">
        <v>64002</v>
      </c>
      <c r="C357" s="788" t="s">
        <v>529</v>
      </c>
      <c r="D357" s="789"/>
      <c r="E357" s="789"/>
      <c r="F357" s="789"/>
      <c r="G357" s="789"/>
      <c r="H357" s="789"/>
      <c r="I357" s="789"/>
      <c r="J357" s="790"/>
      <c r="K357" t="str">
        <f>H358</f>
        <v>m</v>
      </c>
      <c r="L357" s="274">
        <f>J383</f>
        <v>196.25</v>
      </c>
    </row>
    <row r="358" spans="1:10" ht="23.25" thickBot="1">
      <c r="A358" s="791" t="s">
        <v>47</v>
      </c>
      <c r="B358" s="792"/>
      <c r="C358" s="82" t="s">
        <v>530</v>
      </c>
      <c r="D358" s="793" t="s">
        <v>48</v>
      </c>
      <c r="E358" s="794"/>
      <c r="F358" s="40"/>
      <c r="G358" s="561" t="s">
        <v>49</v>
      </c>
      <c r="H358" s="160" t="s">
        <v>186</v>
      </c>
      <c r="I358" s="795"/>
      <c r="J358" s="796"/>
    </row>
    <row r="359" spans="1:10" ht="15">
      <c r="A359" s="797" t="s">
        <v>51</v>
      </c>
      <c r="B359" s="798" t="s">
        <v>52</v>
      </c>
      <c r="C359" s="798" t="s">
        <v>53</v>
      </c>
      <c r="D359" s="799" t="s">
        <v>54</v>
      </c>
      <c r="E359" s="801" t="s">
        <v>55</v>
      </c>
      <c r="F359" s="802"/>
      <c r="G359" s="803"/>
      <c r="H359" s="801" t="s">
        <v>56</v>
      </c>
      <c r="I359" s="802"/>
      <c r="J359" s="804"/>
    </row>
    <row r="360" spans="1:10" ht="15">
      <c r="A360" s="765"/>
      <c r="B360" s="767"/>
      <c r="C360" s="767"/>
      <c r="D360" s="800"/>
      <c r="E360" s="560" t="s">
        <v>57</v>
      </c>
      <c r="F360" s="560" t="s">
        <v>58</v>
      </c>
      <c r="G360" s="560" t="s">
        <v>59</v>
      </c>
      <c r="H360" s="560" t="s">
        <v>58</v>
      </c>
      <c r="I360" s="560" t="s">
        <v>59</v>
      </c>
      <c r="J360" s="41" t="s">
        <v>60</v>
      </c>
    </row>
    <row r="361" spans="1:10" ht="22.5">
      <c r="A361" s="581" t="s">
        <v>436</v>
      </c>
      <c r="B361" s="44">
        <v>80170</v>
      </c>
      <c r="C361" s="42" t="s">
        <v>653</v>
      </c>
      <c r="D361" s="562" t="s">
        <v>150</v>
      </c>
      <c r="E361" s="591">
        <v>0.8</v>
      </c>
      <c r="F361" s="591">
        <v>1</v>
      </c>
      <c r="G361" s="591">
        <v>0</v>
      </c>
      <c r="H361" s="562">
        <v>226.41</v>
      </c>
      <c r="I361" s="562">
        <v>11.57</v>
      </c>
      <c r="J361" s="43">
        <f>ROUND(E361*(F361*H361)+(G361*I361),2)</f>
        <v>181.13</v>
      </c>
    </row>
    <row r="362" spans="1:10" ht="15">
      <c r="A362" s="779" t="s">
        <v>61</v>
      </c>
      <c r="B362" s="780"/>
      <c r="C362" s="780"/>
      <c r="D362" s="780"/>
      <c r="E362" s="780"/>
      <c r="F362" s="780"/>
      <c r="G362" s="780"/>
      <c r="H362" s="780"/>
      <c r="I362" s="755"/>
      <c r="J362" s="45">
        <f>SUM(J361:J361)</f>
        <v>181.13</v>
      </c>
    </row>
    <row r="363" spans="1:10" ht="22.5">
      <c r="A363" s="46" t="s">
        <v>51</v>
      </c>
      <c r="B363" s="47" t="s">
        <v>52</v>
      </c>
      <c r="C363" s="557" t="s">
        <v>62</v>
      </c>
      <c r="D363" s="557" t="s">
        <v>63</v>
      </c>
      <c r="E363" s="557" t="s">
        <v>19</v>
      </c>
      <c r="F363" s="270" t="s">
        <v>64</v>
      </c>
      <c r="G363" s="270" t="s">
        <v>65</v>
      </c>
      <c r="H363" s="781" t="s">
        <v>66</v>
      </c>
      <c r="I363" s="782"/>
      <c r="J363" s="48" t="s">
        <v>67</v>
      </c>
    </row>
    <row r="364" spans="1:10" ht="22.5">
      <c r="A364" s="581" t="s">
        <v>436</v>
      </c>
      <c r="B364" s="589">
        <v>10101</v>
      </c>
      <c r="C364" s="42" t="s">
        <v>654</v>
      </c>
      <c r="D364" s="49" t="s">
        <v>655</v>
      </c>
      <c r="E364" s="162">
        <v>0.16</v>
      </c>
      <c r="F364" s="35">
        <v>6.27</v>
      </c>
      <c r="G364" s="165">
        <v>1.5727</v>
      </c>
      <c r="H364" s="774">
        <f>F364*(1+G364)</f>
        <v>16.130829</v>
      </c>
      <c r="I364" s="775"/>
      <c r="J364" s="84">
        <f>ROUND(H364*E364,2)</f>
        <v>2.58</v>
      </c>
    </row>
    <row r="365" spans="1:10" ht="22.5">
      <c r="A365" s="581" t="s">
        <v>436</v>
      </c>
      <c r="B365" s="589">
        <v>10115</v>
      </c>
      <c r="C365" s="42" t="s">
        <v>656</v>
      </c>
      <c r="D365" s="49" t="s">
        <v>655</v>
      </c>
      <c r="E365" s="162">
        <v>0.16</v>
      </c>
      <c r="F365" s="35">
        <v>7.43</v>
      </c>
      <c r="G365" s="165">
        <v>1.5727</v>
      </c>
      <c r="H365" s="774">
        <f>F365*(1+G365)</f>
        <v>19.115161</v>
      </c>
      <c r="I365" s="775"/>
      <c r="J365" s="84">
        <f>ROUND(H365*E365,2)</f>
        <v>3.06</v>
      </c>
    </row>
    <row r="366" spans="1:10" ht="15">
      <c r="A366" s="754" t="s">
        <v>68</v>
      </c>
      <c r="B366" s="755"/>
      <c r="C366" s="756"/>
      <c r="D366" s="756"/>
      <c r="E366" s="756"/>
      <c r="F366" s="756"/>
      <c r="G366" s="756"/>
      <c r="H366" s="756"/>
      <c r="I366" s="756"/>
      <c r="J366" s="87">
        <f>SUM(J364:J365)</f>
        <v>5.640000000000001</v>
      </c>
    </row>
    <row r="367" spans="1:10" ht="15">
      <c r="A367" s="783" t="s">
        <v>69</v>
      </c>
      <c r="B367" s="784"/>
      <c r="C367" s="784"/>
      <c r="D367" s="784"/>
      <c r="E367" s="784"/>
      <c r="F367" s="784"/>
      <c r="G367" s="784"/>
      <c r="H367" s="784"/>
      <c r="I367" s="166">
        <v>0.05</v>
      </c>
      <c r="J367" s="596">
        <f>ROUND(J366*I367,2)</f>
        <v>0.28</v>
      </c>
    </row>
    <row r="368" spans="1:10" ht="15">
      <c r="A368" s="785" t="s">
        <v>70</v>
      </c>
      <c r="B368" s="786"/>
      <c r="C368" s="787"/>
      <c r="D368" s="787"/>
      <c r="E368" s="787"/>
      <c r="F368" s="787"/>
      <c r="G368" s="787"/>
      <c r="H368" s="787"/>
      <c r="I368" s="787"/>
      <c r="J368" s="597">
        <v>1</v>
      </c>
    </row>
    <row r="369" spans="1:10" ht="15">
      <c r="A369" s="754" t="s">
        <v>71</v>
      </c>
      <c r="B369" s="755"/>
      <c r="C369" s="756"/>
      <c r="D369" s="756"/>
      <c r="E369" s="756"/>
      <c r="F369" s="756"/>
      <c r="G369" s="756"/>
      <c r="H369" s="756"/>
      <c r="I369" s="756"/>
      <c r="J369" s="45">
        <f>ROUND((J362+J366+J367)/J368,2)</f>
        <v>187.05</v>
      </c>
    </row>
    <row r="370" spans="1:10" ht="15">
      <c r="A370" s="46" t="s">
        <v>51</v>
      </c>
      <c r="B370" s="47" t="s">
        <v>52</v>
      </c>
      <c r="C370" s="557" t="s">
        <v>72</v>
      </c>
      <c r="D370" s="557" t="s">
        <v>63</v>
      </c>
      <c r="E370" s="769" t="s">
        <v>73</v>
      </c>
      <c r="F370" s="769"/>
      <c r="G370" s="769"/>
      <c r="H370" s="769" t="s">
        <v>74</v>
      </c>
      <c r="I370" s="769"/>
      <c r="J370" s="559" t="s">
        <v>60</v>
      </c>
    </row>
    <row r="371" spans="1:10" ht="22.5">
      <c r="A371" s="581" t="s">
        <v>531</v>
      </c>
      <c r="B371" s="599">
        <v>4621</v>
      </c>
      <c r="C371" s="42" t="s">
        <v>532</v>
      </c>
      <c r="D371" s="49" t="s">
        <v>186</v>
      </c>
      <c r="E371" s="776">
        <v>1</v>
      </c>
      <c r="F371" s="777"/>
      <c r="G371" s="778"/>
      <c r="H371" s="774">
        <v>9.2</v>
      </c>
      <c r="I371" s="775"/>
      <c r="J371" s="598">
        <f>ROUND(H371*E371,2)</f>
        <v>9.2</v>
      </c>
    </row>
    <row r="372" spans="1:10" ht="15">
      <c r="A372" s="754" t="s">
        <v>75</v>
      </c>
      <c r="B372" s="755"/>
      <c r="C372" s="756"/>
      <c r="D372" s="756"/>
      <c r="E372" s="756"/>
      <c r="F372" s="756"/>
      <c r="G372" s="756"/>
      <c r="H372" s="756"/>
      <c r="I372" s="756"/>
      <c r="J372" s="45">
        <f>SUM(J371:J371)</f>
        <v>9.2</v>
      </c>
    </row>
    <row r="373" spans="1:10" ht="15">
      <c r="A373" s="46" t="s">
        <v>51</v>
      </c>
      <c r="B373" s="47" t="s">
        <v>52</v>
      </c>
      <c r="C373" s="557" t="s">
        <v>76</v>
      </c>
      <c r="D373" s="557" t="s">
        <v>63</v>
      </c>
      <c r="E373" s="769" t="s">
        <v>73</v>
      </c>
      <c r="F373" s="769"/>
      <c r="G373" s="769"/>
      <c r="H373" s="769" t="s">
        <v>74</v>
      </c>
      <c r="I373" s="769"/>
      <c r="J373" s="559" t="s">
        <v>60</v>
      </c>
    </row>
    <row r="374" spans="1:10" ht="15">
      <c r="A374" s="581"/>
      <c r="B374" s="57"/>
      <c r="C374" s="42"/>
      <c r="D374" s="49"/>
      <c r="E374" s="771"/>
      <c r="F374" s="772"/>
      <c r="G374" s="773"/>
      <c r="H374" s="774"/>
      <c r="I374" s="775"/>
      <c r="J374" s="84"/>
    </row>
    <row r="375" spans="1:10" ht="15">
      <c r="A375" s="754" t="s">
        <v>77</v>
      </c>
      <c r="B375" s="755"/>
      <c r="C375" s="756"/>
      <c r="D375" s="756"/>
      <c r="E375" s="756"/>
      <c r="F375" s="756"/>
      <c r="G375" s="756"/>
      <c r="H375" s="756"/>
      <c r="I375" s="756"/>
      <c r="J375" s="45">
        <f>SUM(J374:J374)</f>
        <v>0</v>
      </c>
    </row>
    <row r="376" spans="1:10" ht="15">
      <c r="A376" s="46" t="s">
        <v>51</v>
      </c>
      <c r="B376" s="47" t="s">
        <v>52</v>
      </c>
      <c r="C376" s="557" t="s">
        <v>78</v>
      </c>
      <c r="D376" s="557" t="s">
        <v>63</v>
      </c>
      <c r="E376" s="769" t="s">
        <v>73</v>
      </c>
      <c r="F376" s="769"/>
      <c r="G376" s="769"/>
      <c r="H376" s="769" t="s">
        <v>74</v>
      </c>
      <c r="I376" s="769"/>
      <c r="J376" s="559" t="s">
        <v>60</v>
      </c>
    </row>
    <row r="377" spans="1:10" ht="15">
      <c r="A377" s="56"/>
      <c r="B377" s="44"/>
      <c r="C377" s="42"/>
      <c r="D377" s="49"/>
      <c r="E377" s="760"/>
      <c r="F377" s="761"/>
      <c r="G377" s="761"/>
      <c r="H377" s="762"/>
      <c r="I377" s="763"/>
      <c r="J377" s="59"/>
    </row>
    <row r="378" spans="1:10" ht="15">
      <c r="A378" s="754" t="s">
        <v>79</v>
      </c>
      <c r="B378" s="755"/>
      <c r="C378" s="756"/>
      <c r="D378" s="756"/>
      <c r="E378" s="756"/>
      <c r="F378" s="756"/>
      <c r="G378" s="756"/>
      <c r="H378" s="756"/>
      <c r="I378" s="756"/>
      <c r="J378" s="45">
        <f>SUM(J377)</f>
        <v>0</v>
      </c>
    </row>
    <row r="379" spans="1:10" ht="15">
      <c r="A379" s="764" t="s">
        <v>51</v>
      </c>
      <c r="B379" s="766" t="s">
        <v>52</v>
      </c>
      <c r="C379" s="767" t="s">
        <v>80</v>
      </c>
      <c r="D379" s="769" t="s">
        <v>81</v>
      </c>
      <c r="E379" s="769"/>
      <c r="F379" s="769" t="s">
        <v>82</v>
      </c>
      <c r="G379" s="769"/>
      <c r="H379" s="769" t="s">
        <v>74</v>
      </c>
      <c r="I379" s="769"/>
      <c r="J379" s="749" t="s">
        <v>60</v>
      </c>
    </row>
    <row r="380" spans="1:10" ht="15">
      <c r="A380" s="765"/>
      <c r="B380" s="767"/>
      <c r="C380" s="768"/>
      <c r="D380" s="558" t="s">
        <v>83</v>
      </c>
      <c r="E380" s="558" t="s">
        <v>84</v>
      </c>
      <c r="F380" s="770"/>
      <c r="G380" s="770"/>
      <c r="H380" s="770"/>
      <c r="I380" s="770"/>
      <c r="J380" s="750"/>
    </row>
    <row r="381" spans="1:10" ht="15">
      <c r="A381" s="56"/>
      <c r="B381" s="60"/>
      <c r="C381" s="61"/>
      <c r="D381" s="62"/>
      <c r="E381" s="62"/>
      <c r="F381" s="751"/>
      <c r="G381" s="752"/>
      <c r="H381" s="753"/>
      <c r="I381" s="753"/>
      <c r="J381" s="55"/>
    </row>
    <row r="382" spans="1:10" ht="15.75" thickBot="1">
      <c r="A382" s="754" t="s">
        <v>85</v>
      </c>
      <c r="B382" s="755"/>
      <c r="C382" s="756"/>
      <c r="D382" s="756"/>
      <c r="E382" s="756"/>
      <c r="F382" s="756"/>
      <c r="G382" s="756"/>
      <c r="H382" s="756"/>
      <c r="I382" s="756"/>
      <c r="J382" s="45">
        <f>SUM(J381:J381)</f>
        <v>0</v>
      </c>
    </row>
    <row r="383" spans="1:10" ht="15.75" thickBot="1">
      <c r="A383" s="757" t="s">
        <v>86</v>
      </c>
      <c r="B383" s="758"/>
      <c r="C383" s="759"/>
      <c r="D383" s="759"/>
      <c r="E383" s="759"/>
      <c r="F383" s="759"/>
      <c r="G383" s="759"/>
      <c r="H383" s="759"/>
      <c r="I383" s="759"/>
      <c r="J383" s="602">
        <f>J369+J372+J375+J382+J378</f>
        <v>196.25</v>
      </c>
    </row>
    <row r="384" spans="1:12" ht="15">
      <c r="A384" s="39" t="s">
        <v>45</v>
      </c>
      <c r="B384" s="601">
        <v>65001</v>
      </c>
      <c r="C384" s="788" t="s">
        <v>533</v>
      </c>
      <c r="D384" s="789"/>
      <c r="E384" s="789"/>
      <c r="F384" s="789"/>
      <c r="G384" s="789"/>
      <c r="H384" s="789"/>
      <c r="I384" s="789"/>
      <c r="J384" s="790"/>
      <c r="K384" t="str">
        <f>H385</f>
        <v>und</v>
      </c>
      <c r="L384" s="274">
        <f>J409</f>
        <v>314.41</v>
      </c>
    </row>
    <row r="385" spans="1:10" ht="15.75" thickBot="1">
      <c r="A385" s="791" t="s">
        <v>47</v>
      </c>
      <c r="B385" s="792"/>
      <c r="C385" s="82" t="s">
        <v>527</v>
      </c>
      <c r="D385" s="793" t="s">
        <v>48</v>
      </c>
      <c r="E385" s="794"/>
      <c r="F385" s="40"/>
      <c r="G385" s="561" t="s">
        <v>49</v>
      </c>
      <c r="H385" s="160" t="s">
        <v>148</v>
      </c>
      <c r="I385" s="795"/>
      <c r="J385" s="796"/>
    </row>
    <row r="386" spans="1:10" ht="15">
      <c r="A386" s="797" t="s">
        <v>51</v>
      </c>
      <c r="B386" s="798" t="s">
        <v>52</v>
      </c>
      <c r="C386" s="798" t="s">
        <v>53</v>
      </c>
      <c r="D386" s="799" t="s">
        <v>54</v>
      </c>
      <c r="E386" s="801" t="s">
        <v>55</v>
      </c>
      <c r="F386" s="802"/>
      <c r="G386" s="803"/>
      <c r="H386" s="801" t="s">
        <v>56</v>
      </c>
      <c r="I386" s="802"/>
      <c r="J386" s="804"/>
    </row>
    <row r="387" spans="1:10" ht="15">
      <c r="A387" s="765"/>
      <c r="B387" s="767"/>
      <c r="C387" s="767"/>
      <c r="D387" s="800"/>
      <c r="E387" s="560" t="s">
        <v>57</v>
      </c>
      <c r="F387" s="560" t="s">
        <v>58</v>
      </c>
      <c r="G387" s="560" t="s">
        <v>59</v>
      </c>
      <c r="H387" s="560" t="s">
        <v>58</v>
      </c>
      <c r="I387" s="560" t="s">
        <v>59</v>
      </c>
      <c r="J387" s="41" t="s">
        <v>60</v>
      </c>
    </row>
    <row r="388" spans="1:10" ht="22.5">
      <c r="A388" s="581" t="s">
        <v>436</v>
      </c>
      <c r="B388" s="44">
        <v>80170</v>
      </c>
      <c r="C388" s="42" t="s">
        <v>653</v>
      </c>
      <c r="D388" s="562" t="s">
        <v>150</v>
      </c>
      <c r="E388" s="591">
        <v>1.3</v>
      </c>
      <c r="F388" s="591">
        <v>1</v>
      </c>
      <c r="G388" s="591">
        <v>0</v>
      </c>
      <c r="H388" s="562">
        <v>226.41</v>
      </c>
      <c r="I388" s="562">
        <v>11.57</v>
      </c>
      <c r="J388" s="43">
        <f>ROUND(E388*(F388*H388)+(G388*I388),2)</f>
        <v>294.33</v>
      </c>
    </row>
    <row r="389" spans="1:10" ht="15">
      <c r="A389" s="779" t="s">
        <v>61</v>
      </c>
      <c r="B389" s="780"/>
      <c r="C389" s="780"/>
      <c r="D389" s="780"/>
      <c r="E389" s="780"/>
      <c r="F389" s="780"/>
      <c r="G389" s="780"/>
      <c r="H389" s="780"/>
      <c r="I389" s="755"/>
      <c r="J389" s="45">
        <f>SUM(J388:J388)</f>
        <v>294.33</v>
      </c>
    </row>
    <row r="390" spans="1:10" ht="22.5">
      <c r="A390" s="46" t="s">
        <v>51</v>
      </c>
      <c r="B390" s="47" t="s">
        <v>52</v>
      </c>
      <c r="C390" s="557" t="s">
        <v>62</v>
      </c>
      <c r="D390" s="557" t="s">
        <v>63</v>
      </c>
      <c r="E390" s="557" t="s">
        <v>19</v>
      </c>
      <c r="F390" s="270" t="s">
        <v>64</v>
      </c>
      <c r="G390" s="270" t="s">
        <v>65</v>
      </c>
      <c r="H390" s="781" t="s">
        <v>66</v>
      </c>
      <c r="I390" s="782"/>
      <c r="J390" s="48" t="s">
        <v>67</v>
      </c>
    </row>
    <row r="391" spans="1:10" ht="22.5">
      <c r="A391" s="581" t="s">
        <v>436</v>
      </c>
      <c r="B391" s="589">
        <v>10115</v>
      </c>
      <c r="C391" s="42" t="s">
        <v>656</v>
      </c>
      <c r="D391" s="49" t="s">
        <v>655</v>
      </c>
      <c r="E391" s="162">
        <v>1</v>
      </c>
      <c r="F391" s="35">
        <v>7.43</v>
      </c>
      <c r="G391" s="165">
        <v>1.5727</v>
      </c>
      <c r="H391" s="774">
        <f>F391*(1+G391)</f>
        <v>19.115161</v>
      </c>
      <c r="I391" s="775"/>
      <c r="J391" s="84">
        <f>ROUND(H391*E391,2)</f>
        <v>19.12</v>
      </c>
    </row>
    <row r="392" spans="1:10" ht="15">
      <c r="A392" s="754" t="s">
        <v>68</v>
      </c>
      <c r="B392" s="755"/>
      <c r="C392" s="756"/>
      <c r="D392" s="756"/>
      <c r="E392" s="756"/>
      <c r="F392" s="756"/>
      <c r="G392" s="756"/>
      <c r="H392" s="756"/>
      <c r="I392" s="756"/>
      <c r="J392" s="87">
        <f>SUM(J391:J391)</f>
        <v>19.12</v>
      </c>
    </row>
    <row r="393" spans="1:10" ht="15">
      <c r="A393" s="783" t="s">
        <v>69</v>
      </c>
      <c r="B393" s="784"/>
      <c r="C393" s="784"/>
      <c r="D393" s="784"/>
      <c r="E393" s="784"/>
      <c r="F393" s="784"/>
      <c r="G393" s="784"/>
      <c r="H393" s="784"/>
      <c r="I393" s="166">
        <v>0.05</v>
      </c>
      <c r="J393" s="596">
        <f>ROUND(J392*I393,2)</f>
        <v>0.96</v>
      </c>
    </row>
    <row r="394" spans="1:10" ht="15">
      <c r="A394" s="785" t="s">
        <v>70</v>
      </c>
      <c r="B394" s="786"/>
      <c r="C394" s="787"/>
      <c r="D394" s="787"/>
      <c r="E394" s="787"/>
      <c r="F394" s="787"/>
      <c r="G394" s="787"/>
      <c r="H394" s="787"/>
      <c r="I394" s="787"/>
      <c r="J394" s="597">
        <v>1</v>
      </c>
    </row>
    <row r="395" spans="1:10" ht="15">
      <c r="A395" s="754" t="s">
        <v>71</v>
      </c>
      <c r="B395" s="755"/>
      <c r="C395" s="756"/>
      <c r="D395" s="756"/>
      <c r="E395" s="756"/>
      <c r="F395" s="756"/>
      <c r="G395" s="756"/>
      <c r="H395" s="756"/>
      <c r="I395" s="756"/>
      <c r="J395" s="45">
        <f>ROUND((J389+J392+J393)/J394,2)</f>
        <v>314.41</v>
      </c>
    </row>
    <row r="396" spans="1:10" ht="15">
      <c r="A396" s="46" t="s">
        <v>51</v>
      </c>
      <c r="B396" s="47" t="s">
        <v>52</v>
      </c>
      <c r="C396" s="557" t="s">
        <v>72</v>
      </c>
      <c r="D396" s="557" t="s">
        <v>63</v>
      </c>
      <c r="E396" s="769" t="s">
        <v>73</v>
      </c>
      <c r="F396" s="769"/>
      <c r="G396" s="769"/>
      <c r="H396" s="769" t="s">
        <v>74</v>
      </c>
      <c r="I396" s="769"/>
      <c r="J396" s="559" t="s">
        <v>60</v>
      </c>
    </row>
    <row r="397" spans="1:10" ht="15">
      <c r="A397" s="581"/>
      <c r="B397" s="599"/>
      <c r="C397" s="42"/>
      <c r="D397" s="49"/>
      <c r="E397" s="776"/>
      <c r="F397" s="777"/>
      <c r="G397" s="778"/>
      <c r="H397" s="774"/>
      <c r="I397" s="775"/>
      <c r="J397" s="598"/>
    </row>
    <row r="398" spans="1:10" ht="15">
      <c r="A398" s="754" t="s">
        <v>75</v>
      </c>
      <c r="B398" s="755"/>
      <c r="C398" s="756"/>
      <c r="D398" s="756"/>
      <c r="E398" s="756"/>
      <c r="F398" s="756"/>
      <c r="G398" s="756"/>
      <c r="H398" s="756"/>
      <c r="I398" s="756"/>
      <c r="J398" s="45">
        <f>SUM(J397:J397)</f>
        <v>0</v>
      </c>
    </row>
    <row r="399" spans="1:10" ht="15">
      <c r="A399" s="46" t="s">
        <v>51</v>
      </c>
      <c r="B399" s="47" t="s">
        <v>52</v>
      </c>
      <c r="C399" s="557" t="s">
        <v>76</v>
      </c>
      <c r="D399" s="557" t="s">
        <v>63</v>
      </c>
      <c r="E399" s="769" t="s">
        <v>73</v>
      </c>
      <c r="F399" s="769"/>
      <c r="G399" s="769"/>
      <c r="H399" s="769" t="s">
        <v>74</v>
      </c>
      <c r="I399" s="769"/>
      <c r="J399" s="559" t="s">
        <v>60</v>
      </c>
    </row>
    <row r="400" spans="1:10" ht="15">
      <c r="A400" s="581"/>
      <c r="B400" s="57"/>
      <c r="C400" s="42"/>
      <c r="D400" s="49"/>
      <c r="E400" s="771"/>
      <c r="F400" s="772"/>
      <c r="G400" s="773"/>
      <c r="H400" s="774"/>
      <c r="I400" s="775"/>
      <c r="J400" s="84"/>
    </row>
    <row r="401" spans="1:10" ht="15">
      <c r="A401" s="754" t="s">
        <v>77</v>
      </c>
      <c r="B401" s="755"/>
      <c r="C401" s="756"/>
      <c r="D401" s="756"/>
      <c r="E401" s="756"/>
      <c r="F401" s="756"/>
      <c r="G401" s="756"/>
      <c r="H401" s="756"/>
      <c r="I401" s="756"/>
      <c r="J401" s="45">
        <f>SUM(J400:J400)</f>
        <v>0</v>
      </c>
    </row>
    <row r="402" spans="1:10" ht="15">
      <c r="A402" s="46" t="s">
        <v>51</v>
      </c>
      <c r="B402" s="47" t="s">
        <v>52</v>
      </c>
      <c r="C402" s="557" t="s">
        <v>78</v>
      </c>
      <c r="D402" s="557" t="s">
        <v>63</v>
      </c>
      <c r="E402" s="769" t="s">
        <v>73</v>
      </c>
      <c r="F402" s="769"/>
      <c r="G402" s="769"/>
      <c r="H402" s="769" t="s">
        <v>74</v>
      </c>
      <c r="I402" s="769"/>
      <c r="J402" s="559" t="s">
        <v>60</v>
      </c>
    </row>
    <row r="403" spans="1:10" ht="15">
      <c r="A403" s="56"/>
      <c r="B403" s="44"/>
      <c r="C403" s="42"/>
      <c r="D403" s="49"/>
      <c r="E403" s="760"/>
      <c r="F403" s="761"/>
      <c r="G403" s="761"/>
      <c r="H403" s="762"/>
      <c r="I403" s="763"/>
      <c r="J403" s="59"/>
    </row>
    <row r="404" spans="1:10" ht="15">
      <c r="A404" s="754" t="s">
        <v>79</v>
      </c>
      <c r="B404" s="755"/>
      <c r="C404" s="756"/>
      <c r="D404" s="756"/>
      <c r="E404" s="756"/>
      <c r="F404" s="756"/>
      <c r="G404" s="756"/>
      <c r="H404" s="756"/>
      <c r="I404" s="756"/>
      <c r="J404" s="45">
        <f>SUM(J403)</f>
        <v>0</v>
      </c>
    </row>
    <row r="405" spans="1:10" ht="15">
      <c r="A405" s="764" t="s">
        <v>51</v>
      </c>
      <c r="B405" s="766" t="s">
        <v>52</v>
      </c>
      <c r="C405" s="767" t="s">
        <v>80</v>
      </c>
      <c r="D405" s="769" t="s">
        <v>81</v>
      </c>
      <c r="E405" s="769"/>
      <c r="F405" s="769" t="s">
        <v>82</v>
      </c>
      <c r="G405" s="769"/>
      <c r="H405" s="769" t="s">
        <v>74</v>
      </c>
      <c r="I405" s="769"/>
      <c r="J405" s="749" t="s">
        <v>60</v>
      </c>
    </row>
    <row r="406" spans="1:10" ht="15">
      <c r="A406" s="765"/>
      <c r="B406" s="767"/>
      <c r="C406" s="768"/>
      <c r="D406" s="558" t="s">
        <v>83</v>
      </c>
      <c r="E406" s="558" t="s">
        <v>84</v>
      </c>
      <c r="F406" s="770"/>
      <c r="G406" s="770"/>
      <c r="H406" s="770"/>
      <c r="I406" s="770"/>
      <c r="J406" s="750"/>
    </row>
    <row r="407" spans="1:10" ht="15">
      <c r="A407" s="56"/>
      <c r="B407" s="60"/>
      <c r="C407" s="61"/>
      <c r="D407" s="62"/>
      <c r="E407" s="62"/>
      <c r="F407" s="751"/>
      <c r="G407" s="752"/>
      <c r="H407" s="753"/>
      <c r="I407" s="753"/>
      <c r="J407" s="55"/>
    </row>
    <row r="408" spans="1:10" ht="15.75" thickBot="1">
      <c r="A408" s="754" t="s">
        <v>85</v>
      </c>
      <c r="B408" s="755"/>
      <c r="C408" s="756"/>
      <c r="D408" s="756"/>
      <c r="E408" s="756"/>
      <c r="F408" s="756"/>
      <c r="G408" s="756"/>
      <c r="H408" s="756"/>
      <c r="I408" s="756"/>
      <c r="J408" s="45">
        <f>SUM(J407:J407)</f>
        <v>0</v>
      </c>
    </row>
    <row r="409" spans="1:10" ht="15.75" thickBot="1">
      <c r="A409" s="757" t="s">
        <v>86</v>
      </c>
      <c r="B409" s="758"/>
      <c r="C409" s="759"/>
      <c r="D409" s="759"/>
      <c r="E409" s="759"/>
      <c r="F409" s="759"/>
      <c r="G409" s="759"/>
      <c r="H409" s="759"/>
      <c r="I409" s="759"/>
      <c r="J409" s="602">
        <f>J395+J398+J401+J408+J404</f>
        <v>314.41</v>
      </c>
    </row>
    <row r="410" spans="1:12" ht="15">
      <c r="A410" s="39" t="s">
        <v>45</v>
      </c>
      <c r="B410" s="601">
        <v>65002</v>
      </c>
      <c r="C410" s="788" t="s">
        <v>534</v>
      </c>
      <c r="D410" s="789"/>
      <c r="E410" s="789"/>
      <c r="F410" s="789"/>
      <c r="G410" s="789"/>
      <c r="H410" s="789"/>
      <c r="I410" s="789"/>
      <c r="J410" s="790"/>
      <c r="K410" t="str">
        <f>H411</f>
        <v>und</v>
      </c>
      <c r="L410" s="274">
        <f>J435</f>
        <v>495.04</v>
      </c>
    </row>
    <row r="411" spans="1:10" ht="15.75" thickBot="1">
      <c r="A411" s="791" t="s">
        <v>47</v>
      </c>
      <c r="B411" s="792"/>
      <c r="C411" s="82" t="s">
        <v>527</v>
      </c>
      <c r="D411" s="793" t="s">
        <v>48</v>
      </c>
      <c r="E411" s="794"/>
      <c r="F411" s="40"/>
      <c r="G411" s="561" t="s">
        <v>49</v>
      </c>
      <c r="H411" s="160" t="s">
        <v>148</v>
      </c>
      <c r="I411" s="795"/>
      <c r="J411" s="796"/>
    </row>
    <row r="412" spans="1:10" ht="15">
      <c r="A412" s="797" t="s">
        <v>51</v>
      </c>
      <c r="B412" s="798" t="s">
        <v>52</v>
      </c>
      <c r="C412" s="798" t="s">
        <v>53</v>
      </c>
      <c r="D412" s="799" t="s">
        <v>54</v>
      </c>
      <c r="E412" s="801" t="s">
        <v>55</v>
      </c>
      <c r="F412" s="802"/>
      <c r="G412" s="803"/>
      <c r="H412" s="801" t="s">
        <v>56</v>
      </c>
      <c r="I412" s="802"/>
      <c r="J412" s="804"/>
    </row>
    <row r="413" spans="1:10" ht="15">
      <c r="A413" s="765"/>
      <c r="B413" s="767"/>
      <c r="C413" s="767"/>
      <c r="D413" s="800"/>
      <c r="E413" s="560" t="s">
        <v>57</v>
      </c>
      <c r="F413" s="560" t="s">
        <v>58</v>
      </c>
      <c r="G413" s="560" t="s">
        <v>59</v>
      </c>
      <c r="H413" s="560" t="s">
        <v>58</v>
      </c>
      <c r="I413" s="560" t="s">
        <v>59</v>
      </c>
      <c r="J413" s="41" t="s">
        <v>60</v>
      </c>
    </row>
    <row r="414" spans="1:10" ht="22.5">
      <c r="A414" s="581" t="s">
        <v>436</v>
      </c>
      <c r="B414" s="44">
        <v>80170</v>
      </c>
      <c r="C414" s="42" t="s">
        <v>653</v>
      </c>
      <c r="D414" s="562" t="s">
        <v>150</v>
      </c>
      <c r="E414" s="591">
        <v>1.3</v>
      </c>
      <c r="F414" s="591">
        <v>1</v>
      </c>
      <c r="G414" s="591">
        <v>0</v>
      </c>
      <c r="H414" s="562">
        <v>226.41</v>
      </c>
      <c r="I414" s="562">
        <v>11.57</v>
      </c>
      <c r="J414" s="43">
        <f>ROUND(E414*(F414*H414)+(G414*I414),2)</f>
        <v>294.33</v>
      </c>
    </row>
    <row r="415" spans="1:10" ht="15">
      <c r="A415" s="779" t="s">
        <v>61</v>
      </c>
      <c r="B415" s="780"/>
      <c r="C415" s="780"/>
      <c r="D415" s="780"/>
      <c r="E415" s="780"/>
      <c r="F415" s="780"/>
      <c r="G415" s="780"/>
      <c r="H415" s="780"/>
      <c r="I415" s="755"/>
      <c r="J415" s="45">
        <f>SUM(J414:J414)</f>
        <v>294.33</v>
      </c>
    </row>
    <row r="416" spans="1:10" ht="22.5">
      <c r="A416" s="46" t="s">
        <v>51</v>
      </c>
      <c r="B416" s="47" t="s">
        <v>52</v>
      </c>
      <c r="C416" s="557" t="s">
        <v>62</v>
      </c>
      <c r="D416" s="557" t="s">
        <v>63</v>
      </c>
      <c r="E416" s="557" t="s">
        <v>19</v>
      </c>
      <c r="F416" s="270" t="s">
        <v>64</v>
      </c>
      <c r="G416" s="270" t="s">
        <v>65</v>
      </c>
      <c r="H416" s="781" t="s">
        <v>66</v>
      </c>
      <c r="I416" s="782"/>
      <c r="J416" s="48" t="s">
        <v>67</v>
      </c>
    </row>
    <row r="417" spans="1:10" ht="22.5">
      <c r="A417" s="581" t="s">
        <v>436</v>
      </c>
      <c r="B417" s="589">
        <v>10115</v>
      </c>
      <c r="C417" s="42" t="s">
        <v>656</v>
      </c>
      <c r="D417" s="49" t="s">
        <v>655</v>
      </c>
      <c r="E417" s="600">
        <v>10</v>
      </c>
      <c r="F417" s="35">
        <v>7.43</v>
      </c>
      <c r="G417" s="165">
        <v>1.5727</v>
      </c>
      <c r="H417" s="774">
        <f>F417*(1+G417)</f>
        <v>19.115161</v>
      </c>
      <c r="I417" s="775"/>
      <c r="J417" s="84">
        <f>ROUND(H417*E417,2)</f>
        <v>191.15</v>
      </c>
    </row>
    <row r="418" spans="1:10" ht="15">
      <c r="A418" s="754" t="s">
        <v>68</v>
      </c>
      <c r="B418" s="755"/>
      <c r="C418" s="756"/>
      <c r="D418" s="756"/>
      <c r="E418" s="756"/>
      <c r="F418" s="756"/>
      <c r="G418" s="756"/>
      <c r="H418" s="756"/>
      <c r="I418" s="756"/>
      <c r="J418" s="87">
        <f>SUM(J417:J417)</f>
        <v>191.15</v>
      </c>
    </row>
    <row r="419" spans="1:10" ht="15">
      <c r="A419" s="783" t="s">
        <v>69</v>
      </c>
      <c r="B419" s="784"/>
      <c r="C419" s="784"/>
      <c r="D419" s="784"/>
      <c r="E419" s="784"/>
      <c r="F419" s="784"/>
      <c r="G419" s="784"/>
      <c r="H419" s="784"/>
      <c r="I419" s="166">
        <v>0.05</v>
      </c>
      <c r="J419" s="596">
        <f>ROUND(J418*I419,2)</f>
        <v>9.56</v>
      </c>
    </row>
    <row r="420" spans="1:10" ht="15">
      <c r="A420" s="785" t="s">
        <v>70</v>
      </c>
      <c r="B420" s="786"/>
      <c r="C420" s="787"/>
      <c r="D420" s="787"/>
      <c r="E420" s="787"/>
      <c r="F420" s="787"/>
      <c r="G420" s="787"/>
      <c r="H420" s="787"/>
      <c r="I420" s="787"/>
      <c r="J420" s="597">
        <v>1</v>
      </c>
    </row>
    <row r="421" spans="1:10" ht="15">
      <c r="A421" s="754" t="s">
        <v>71</v>
      </c>
      <c r="B421" s="755"/>
      <c r="C421" s="756"/>
      <c r="D421" s="756"/>
      <c r="E421" s="756"/>
      <c r="F421" s="756"/>
      <c r="G421" s="756"/>
      <c r="H421" s="756"/>
      <c r="I421" s="756"/>
      <c r="J421" s="45">
        <f>ROUND((J415+J418+J419)/J420,2)</f>
        <v>495.04</v>
      </c>
    </row>
    <row r="422" spans="1:10" ht="15">
      <c r="A422" s="46" t="s">
        <v>51</v>
      </c>
      <c r="B422" s="47" t="s">
        <v>52</v>
      </c>
      <c r="C422" s="557" t="s">
        <v>72</v>
      </c>
      <c r="D422" s="557" t="s">
        <v>63</v>
      </c>
      <c r="E422" s="769" t="s">
        <v>73</v>
      </c>
      <c r="F422" s="769"/>
      <c r="G422" s="769"/>
      <c r="H422" s="769" t="s">
        <v>74</v>
      </c>
      <c r="I422" s="769"/>
      <c r="J422" s="559" t="s">
        <v>60</v>
      </c>
    </row>
    <row r="423" spans="1:10" ht="15">
      <c r="A423" s="581"/>
      <c r="B423" s="599"/>
      <c r="C423" s="42"/>
      <c r="D423" s="49"/>
      <c r="E423" s="776"/>
      <c r="F423" s="777"/>
      <c r="G423" s="778"/>
      <c r="H423" s="774"/>
      <c r="I423" s="775"/>
      <c r="J423" s="598"/>
    </row>
    <row r="424" spans="1:10" ht="15">
      <c r="A424" s="754" t="s">
        <v>75</v>
      </c>
      <c r="B424" s="755"/>
      <c r="C424" s="756"/>
      <c r="D424" s="756"/>
      <c r="E424" s="756"/>
      <c r="F424" s="756"/>
      <c r="G424" s="756"/>
      <c r="H424" s="756"/>
      <c r="I424" s="756"/>
      <c r="J424" s="45">
        <f>SUM(J423:J423)</f>
        <v>0</v>
      </c>
    </row>
    <row r="425" spans="1:10" ht="15">
      <c r="A425" s="46" t="s">
        <v>51</v>
      </c>
      <c r="B425" s="47" t="s">
        <v>52</v>
      </c>
      <c r="C425" s="557" t="s">
        <v>76</v>
      </c>
      <c r="D425" s="557" t="s">
        <v>63</v>
      </c>
      <c r="E425" s="769" t="s">
        <v>73</v>
      </c>
      <c r="F425" s="769"/>
      <c r="G425" s="769"/>
      <c r="H425" s="769" t="s">
        <v>74</v>
      </c>
      <c r="I425" s="769"/>
      <c r="J425" s="559" t="s">
        <v>60</v>
      </c>
    </row>
    <row r="426" spans="1:10" ht="15">
      <c r="A426" s="581"/>
      <c r="B426" s="57"/>
      <c r="C426" s="42"/>
      <c r="D426" s="49"/>
      <c r="E426" s="771"/>
      <c r="F426" s="772"/>
      <c r="G426" s="773"/>
      <c r="H426" s="774"/>
      <c r="I426" s="775"/>
      <c r="J426" s="84"/>
    </row>
    <row r="427" spans="1:10" ht="15">
      <c r="A427" s="754" t="s">
        <v>77</v>
      </c>
      <c r="B427" s="755"/>
      <c r="C427" s="756"/>
      <c r="D427" s="756"/>
      <c r="E427" s="756"/>
      <c r="F427" s="756"/>
      <c r="G427" s="756"/>
      <c r="H427" s="756"/>
      <c r="I427" s="756"/>
      <c r="J427" s="45">
        <f>SUM(J426:J426)</f>
        <v>0</v>
      </c>
    </row>
    <row r="428" spans="1:10" ht="15">
      <c r="A428" s="46" t="s">
        <v>51</v>
      </c>
      <c r="B428" s="47" t="s">
        <v>52</v>
      </c>
      <c r="C428" s="557" t="s">
        <v>78</v>
      </c>
      <c r="D428" s="557" t="s">
        <v>63</v>
      </c>
      <c r="E428" s="769" t="s">
        <v>73</v>
      </c>
      <c r="F428" s="769"/>
      <c r="G428" s="769"/>
      <c r="H428" s="769" t="s">
        <v>74</v>
      </c>
      <c r="I428" s="769"/>
      <c r="J428" s="559" t="s">
        <v>60</v>
      </c>
    </row>
    <row r="429" spans="1:10" ht="15">
      <c r="A429" s="56"/>
      <c r="B429" s="44"/>
      <c r="C429" s="42"/>
      <c r="D429" s="49"/>
      <c r="E429" s="760"/>
      <c r="F429" s="761"/>
      <c r="G429" s="761"/>
      <c r="H429" s="762"/>
      <c r="I429" s="763"/>
      <c r="J429" s="59"/>
    </row>
    <row r="430" spans="1:10" ht="15">
      <c r="A430" s="754" t="s">
        <v>79</v>
      </c>
      <c r="B430" s="755"/>
      <c r="C430" s="756"/>
      <c r="D430" s="756"/>
      <c r="E430" s="756"/>
      <c r="F430" s="756"/>
      <c r="G430" s="756"/>
      <c r="H430" s="756"/>
      <c r="I430" s="756"/>
      <c r="J430" s="45">
        <f>SUM(J429)</f>
        <v>0</v>
      </c>
    </row>
    <row r="431" spans="1:10" ht="15">
      <c r="A431" s="764" t="s">
        <v>51</v>
      </c>
      <c r="B431" s="766" t="s">
        <v>52</v>
      </c>
      <c r="C431" s="767" t="s">
        <v>80</v>
      </c>
      <c r="D431" s="769" t="s">
        <v>81</v>
      </c>
      <c r="E431" s="769"/>
      <c r="F431" s="769" t="s">
        <v>82</v>
      </c>
      <c r="G431" s="769"/>
      <c r="H431" s="769" t="s">
        <v>74</v>
      </c>
      <c r="I431" s="769"/>
      <c r="J431" s="749" t="s">
        <v>60</v>
      </c>
    </row>
    <row r="432" spans="1:10" ht="15">
      <c r="A432" s="765"/>
      <c r="B432" s="767"/>
      <c r="C432" s="768"/>
      <c r="D432" s="558" t="s">
        <v>83</v>
      </c>
      <c r="E432" s="558" t="s">
        <v>84</v>
      </c>
      <c r="F432" s="770"/>
      <c r="G432" s="770"/>
      <c r="H432" s="770"/>
      <c r="I432" s="770"/>
      <c r="J432" s="750"/>
    </row>
    <row r="433" spans="1:10" ht="15">
      <c r="A433" s="56"/>
      <c r="B433" s="60"/>
      <c r="C433" s="61"/>
      <c r="D433" s="62"/>
      <c r="E433" s="62"/>
      <c r="F433" s="751"/>
      <c r="G433" s="752"/>
      <c r="H433" s="753"/>
      <c r="I433" s="753"/>
      <c r="J433" s="55"/>
    </row>
    <row r="434" spans="1:10" ht="15.75" thickBot="1">
      <c r="A434" s="754" t="s">
        <v>85</v>
      </c>
      <c r="B434" s="755"/>
      <c r="C434" s="756"/>
      <c r="D434" s="756"/>
      <c r="E434" s="756"/>
      <c r="F434" s="756"/>
      <c r="G434" s="756"/>
      <c r="H434" s="756"/>
      <c r="I434" s="756"/>
      <c r="J434" s="45">
        <f>SUM(J433:J433)</f>
        <v>0</v>
      </c>
    </row>
    <row r="435" spans="1:10" ht="15.75" thickBot="1">
      <c r="A435" s="757" t="s">
        <v>86</v>
      </c>
      <c r="B435" s="758"/>
      <c r="C435" s="759"/>
      <c r="D435" s="759"/>
      <c r="E435" s="759"/>
      <c r="F435" s="759"/>
      <c r="G435" s="759"/>
      <c r="H435" s="759"/>
      <c r="I435" s="759"/>
      <c r="J435" s="602">
        <f>J421+J424+J427+J434+J430</f>
        <v>495.04</v>
      </c>
    </row>
    <row r="436" spans="1:12" ht="15">
      <c r="A436" s="39" t="s">
        <v>45</v>
      </c>
      <c r="B436" s="601">
        <v>65003</v>
      </c>
      <c r="C436" s="788" t="s">
        <v>535</v>
      </c>
      <c r="D436" s="789"/>
      <c r="E436" s="789"/>
      <c r="F436" s="789"/>
      <c r="G436" s="789"/>
      <c r="H436" s="789"/>
      <c r="I436" s="789"/>
      <c r="J436" s="790"/>
      <c r="K436" t="str">
        <f>H437</f>
        <v>und</v>
      </c>
      <c r="L436" s="274">
        <f>J461</f>
        <v>314.41</v>
      </c>
    </row>
    <row r="437" spans="1:10" ht="15.75" thickBot="1">
      <c r="A437" s="791" t="s">
        <v>47</v>
      </c>
      <c r="B437" s="792"/>
      <c r="C437" s="82" t="s">
        <v>527</v>
      </c>
      <c r="D437" s="793" t="s">
        <v>48</v>
      </c>
      <c r="E437" s="794"/>
      <c r="F437" s="40"/>
      <c r="G437" s="561" t="s">
        <v>49</v>
      </c>
      <c r="H437" s="160" t="s">
        <v>148</v>
      </c>
      <c r="I437" s="795"/>
      <c r="J437" s="796"/>
    </row>
    <row r="438" spans="1:10" ht="15">
      <c r="A438" s="797" t="s">
        <v>51</v>
      </c>
      <c r="B438" s="798" t="s">
        <v>52</v>
      </c>
      <c r="C438" s="798" t="s">
        <v>53</v>
      </c>
      <c r="D438" s="799" t="s">
        <v>54</v>
      </c>
      <c r="E438" s="801" t="s">
        <v>55</v>
      </c>
      <c r="F438" s="802"/>
      <c r="G438" s="803"/>
      <c r="H438" s="801" t="s">
        <v>56</v>
      </c>
      <c r="I438" s="802"/>
      <c r="J438" s="804"/>
    </row>
    <row r="439" spans="1:10" ht="15">
      <c r="A439" s="765"/>
      <c r="B439" s="767"/>
      <c r="C439" s="767"/>
      <c r="D439" s="800"/>
      <c r="E439" s="560" t="s">
        <v>57</v>
      </c>
      <c r="F439" s="560" t="s">
        <v>58</v>
      </c>
      <c r="G439" s="560" t="s">
        <v>59</v>
      </c>
      <c r="H439" s="560" t="s">
        <v>58</v>
      </c>
      <c r="I439" s="560" t="s">
        <v>59</v>
      </c>
      <c r="J439" s="41" t="s">
        <v>60</v>
      </c>
    </row>
    <row r="440" spans="1:10" ht="22.5">
      <c r="A440" s="581" t="s">
        <v>436</v>
      </c>
      <c r="B440" s="44">
        <v>80170</v>
      </c>
      <c r="C440" s="42" t="s">
        <v>653</v>
      </c>
      <c r="D440" s="562" t="s">
        <v>150</v>
      </c>
      <c r="E440" s="591">
        <v>1.3</v>
      </c>
      <c r="F440" s="591">
        <v>1</v>
      </c>
      <c r="G440" s="591">
        <v>0</v>
      </c>
      <c r="H440" s="562">
        <v>226.41</v>
      </c>
      <c r="I440" s="562">
        <v>11.57</v>
      </c>
      <c r="J440" s="43">
        <f>ROUND(E440*(F440*H440)+(G440*I440),2)</f>
        <v>294.33</v>
      </c>
    </row>
    <row r="441" spans="1:10" ht="15">
      <c r="A441" s="779" t="s">
        <v>61</v>
      </c>
      <c r="B441" s="780"/>
      <c r="C441" s="780"/>
      <c r="D441" s="780"/>
      <c r="E441" s="780"/>
      <c r="F441" s="780"/>
      <c r="G441" s="780"/>
      <c r="H441" s="780"/>
      <c r="I441" s="755"/>
      <c r="J441" s="45">
        <f>SUM(J440:J440)</f>
        <v>294.33</v>
      </c>
    </row>
    <row r="442" spans="1:10" ht="22.5">
      <c r="A442" s="46" t="s">
        <v>51</v>
      </c>
      <c r="B442" s="47" t="s">
        <v>52</v>
      </c>
      <c r="C442" s="557" t="s">
        <v>62</v>
      </c>
      <c r="D442" s="557" t="s">
        <v>63</v>
      </c>
      <c r="E442" s="557" t="s">
        <v>19</v>
      </c>
      <c r="F442" s="270" t="s">
        <v>64</v>
      </c>
      <c r="G442" s="270" t="s">
        <v>65</v>
      </c>
      <c r="H442" s="781" t="s">
        <v>66</v>
      </c>
      <c r="I442" s="782"/>
      <c r="J442" s="48" t="s">
        <v>67</v>
      </c>
    </row>
    <row r="443" spans="1:10" ht="22.5">
      <c r="A443" s="581" t="s">
        <v>436</v>
      </c>
      <c r="B443" s="589">
        <v>10115</v>
      </c>
      <c r="C443" s="42" t="s">
        <v>656</v>
      </c>
      <c r="D443" s="49" t="s">
        <v>655</v>
      </c>
      <c r="E443" s="600">
        <v>1</v>
      </c>
      <c r="F443" s="35">
        <v>7.43</v>
      </c>
      <c r="G443" s="165">
        <v>1.5727</v>
      </c>
      <c r="H443" s="774">
        <f>F443*(1+G443)</f>
        <v>19.115161</v>
      </c>
      <c r="I443" s="775"/>
      <c r="J443" s="84">
        <f>ROUND(H443*E443,2)</f>
        <v>19.12</v>
      </c>
    </row>
    <row r="444" spans="1:10" ht="15">
      <c r="A444" s="754" t="s">
        <v>68</v>
      </c>
      <c r="B444" s="755"/>
      <c r="C444" s="756"/>
      <c r="D444" s="756"/>
      <c r="E444" s="756"/>
      <c r="F444" s="756"/>
      <c r="G444" s="756"/>
      <c r="H444" s="756"/>
      <c r="I444" s="756"/>
      <c r="J444" s="87">
        <f>SUM(J443:J443)</f>
        <v>19.12</v>
      </c>
    </row>
    <row r="445" spans="1:10" ht="15">
      <c r="A445" s="783" t="s">
        <v>69</v>
      </c>
      <c r="B445" s="784"/>
      <c r="C445" s="784"/>
      <c r="D445" s="784"/>
      <c r="E445" s="784"/>
      <c r="F445" s="784"/>
      <c r="G445" s="784"/>
      <c r="H445" s="784"/>
      <c r="I445" s="166">
        <v>0.05</v>
      </c>
      <c r="J445" s="596">
        <f>ROUND(J444*I445,2)</f>
        <v>0.96</v>
      </c>
    </row>
    <row r="446" spans="1:10" ht="15">
      <c r="A446" s="785" t="s">
        <v>70</v>
      </c>
      <c r="B446" s="786"/>
      <c r="C446" s="787"/>
      <c r="D446" s="787"/>
      <c r="E446" s="787"/>
      <c r="F446" s="787"/>
      <c r="G446" s="787"/>
      <c r="H446" s="787"/>
      <c r="I446" s="787"/>
      <c r="J446" s="597">
        <v>1</v>
      </c>
    </row>
    <row r="447" spans="1:10" ht="15">
      <c r="A447" s="754" t="s">
        <v>71</v>
      </c>
      <c r="B447" s="755"/>
      <c r="C447" s="756"/>
      <c r="D447" s="756"/>
      <c r="E447" s="756"/>
      <c r="F447" s="756"/>
      <c r="G447" s="756"/>
      <c r="H447" s="756"/>
      <c r="I447" s="756"/>
      <c r="J447" s="45">
        <f>ROUND((J441+J444+J445)/J446,2)</f>
        <v>314.41</v>
      </c>
    </row>
    <row r="448" spans="1:10" ht="15">
      <c r="A448" s="46" t="s">
        <v>51</v>
      </c>
      <c r="B448" s="47" t="s">
        <v>52</v>
      </c>
      <c r="C448" s="557" t="s">
        <v>72</v>
      </c>
      <c r="D448" s="557" t="s">
        <v>63</v>
      </c>
      <c r="E448" s="769" t="s">
        <v>73</v>
      </c>
      <c r="F448" s="769"/>
      <c r="G448" s="769"/>
      <c r="H448" s="769" t="s">
        <v>74</v>
      </c>
      <c r="I448" s="769"/>
      <c r="J448" s="559" t="s">
        <v>60</v>
      </c>
    </row>
    <row r="449" spans="1:10" ht="15">
      <c r="A449" s="581"/>
      <c r="B449" s="599"/>
      <c r="C449" s="42"/>
      <c r="D449" s="49"/>
      <c r="E449" s="776"/>
      <c r="F449" s="777"/>
      <c r="G449" s="778"/>
      <c r="H449" s="774"/>
      <c r="I449" s="775"/>
      <c r="J449" s="598"/>
    </row>
    <row r="450" spans="1:10" ht="15">
      <c r="A450" s="754" t="s">
        <v>75</v>
      </c>
      <c r="B450" s="755"/>
      <c r="C450" s="756"/>
      <c r="D450" s="756"/>
      <c r="E450" s="756"/>
      <c r="F450" s="756"/>
      <c r="G450" s="756"/>
      <c r="H450" s="756"/>
      <c r="I450" s="756"/>
      <c r="J450" s="45">
        <f>SUM(J449:J449)</f>
        <v>0</v>
      </c>
    </row>
    <row r="451" spans="1:10" ht="15">
      <c r="A451" s="46" t="s">
        <v>51</v>
      </c>
      <c r="B451" s="47" t="s">
        <v>52</v>
      </c>
      <c r="C451" s="557" t="s">
        <v>76</v>
      </c>
      <c r="D451" s="557" t="s">
        <v>63</v>
      </c>
      <c r="E451" s="769" t="s">
        <v>73</v>
      </c>
      <c r="F451" s="769"/>
      <c r="G451" s="769"/>
      <c r="H451" s="769" t="s">
        <v>74</v>
      </c>
      <c r="I451" s="769"/>
      <c r="J451" s="559" t="s">
        <v>60</v>
      </c>
    </row>
    <row r="452" spans="1:10" ht="15">
      <c r="A452" s="581"/>
      <c r="B452" s="57"/>
      <c r="C452" s="42"/>
      <c r="D452" s="49"/>
      <c r="E452" s="771"/>
      <c r="F452" s="772"/>
      <c r="G452" s="773"/>
      <c r="H452" s="774"/>
      <c r="I452" s="775"/>
      <c r="J452" s="84"/>
    </row>
    <row r="453" spans="1:10" ht="15">
      <c r="A453" s="754" t="s">
        <v>77</v>
      </c>
      <c r="B453" s="755"/>
      <c r="C453" s="756"/>
      <c r="D453" s="756"/>
      <c r="E453" s="756"/>
      <c r="F453" s="756"/>
      <c r="G453" s="756"/>
      <c r="H453" s="756"/>
      <c r="I453" s="756"/>
      <c r="J453" s="45">
        <f>SUM(J452:J452)</f>
        <v>0</v>
      </c>
    </row>
    <row r="454" spans="1:10" ht="15">
      <c r="A454" s="46" t="s">
        <v>51</v>
      </c>
      <c r="B454" s="47" t="s">
        <v>52</v>
      </c>
      <c r="C454" s="557" t="s">
        <v>78</v>
      </c>
      <c r="D454" s="557" t="s">
        <v>63</v>
      </c>
      <c r="E454" s="769" t="s">
        <v>73</v>
      </c>
      <c r="F454" s="769"/>
      <c r="G454" s="769"/>
      <c r="H454" s="769" t="s">
        <v>74</v>
      </c>
      <c r="I454" s="769"/>
      <c r="J454" s="559" t="s">
        <v>60</v>
      </c>
    </row>
    <row r="455" spans="1:10" ht="15">
      <c r="A455" s="56"/>
      <c r="B455" s="44"/>
      <c r="C455" s="42"/>
      <c r="D455" s="49"/>
      <c r="E455" s="760"/>
      <c r="F455" s="761"/>
      <c r="G455" s="761"/>
      <c r="H455" s="762"/>
      <c r="I455" s="763"/>
      <c r="J455" s="59"/>
    </row>
    <row r="456" spans="1:10" ht="15">
      <c r="A456" s="754" t="s">
        <v>79</v>
      </c>
      <c r="B456" s="755"/>
      <c r="C456" s="756"/>
      <c r="D456" s="756"/>
      <c r="E456" s="756"/>
      <c r="F456" s="756"/>
      <c r="G456" s="756"/>
      <c r="H456" s="756"/>
      <c r="I456" s="756"/>
      <c r="J456" s="45">
        <f>SUM(J455)</f>
        <v>0</v>
      </c>
    </row>
    <row r="457" spans="1:10" ht="15">
      <c r="A457" s="764" t="s">
        <v>51</v>
      </c>
      <c r="B457" s="766" t="s">
        <v>52</v>
      </c>
      <c r="C457" s="767" t="s">
        <v>80</v>
      </c>
      <c r="D457" s="769" t="s">
        <v>81</v>
      </c>
      <c r="E457" s="769"/>
      <c r="F457" s="769" t="s">
        <v>82</v>
      </c>
      <c r="G457" s="769"/>
      <c r="H457" s="769" t="s">
        <v>74</v>
      </c>
      <c r="I457" s="769"/>
      <c r="J457" s="749" t="s">
        <v>60</v>
      </c>
    </row>
    <row r="458" spans="1:10" ht="15">
      <c r="A458" s="765"/>
      <c r="B458" s="767"/>
      <c r="C458" s="768"/>
      <c r="D458" s="558" t="s">
        <v>83</v>
      </c>
      <c r="E458" s="558" t="s">
        <v>84</v>
      </c>
      <c r="F458" s="770"/>
      <c r="G458" s="770"/>
      <c r="H458" s="770"/>
      <c r="I458" s="770"/>
      <c r="J458" s="750"/>
    </row>
    <row r="459" spans="1:10" ht="15">
      <c r="A459" s="56"/>
      <c r="B459" s="60"/>
      <c r="C459" s="61"/>
      <c r="D459" s="62"/>
      <c r="E459" s="62"/>
      <c r="F459" s="751"/>
      <c r="G459" s="752"/>
      <c r="H459" s="753"/>
      <c r="I459" s="753"/>
      <c r="J459" s="55"/>
    </row>
    <row r="460" spans="1:10" ht="15.75" thickBot="1">
      <c r="A460" s="754" t="s">
        <v>85</v>
      </c>
      <c r="B460" s="755"/>
      <c r="C460" s="756"/>
      <c r="D460" s="756"/>
      <c r="E460" s="756"/>
      <c r="F460" s="756"/>
      <c r="G460" s="756"/>
      <c r="H460" s="756"/>
      <c r="I460" s="756"/>
      <c r="J460" s="45">
        <f>SUM(J459:J459)</f>
        <v>0</v>
      </c>
    </row>
    <row r="461" spans="1:10" ht="15.75" thickBot="1">
      <c r="A461" s="757" t="s">
        <v>86</v>
      </c>
      <c r="B461" s="758"/>
      <c r="C461" s="759"/>
      <c r="D461" s="759"/>
      <c r="E461" s="759"/>
      <c r="F461" s="759"/>
      <c r="G461" s="759"/>
      <c r="H461" s="759"/>
      <c r="I461" s="759"/>
      <c r="J461" s="602">
        <f>J447+J450+J453+J460+J456</f>
        <v>314.41</v>
      </c>
    </row>
    <row r="462" spans="1:12" ht="15">
      <c r="A462" s="39" t="s">
        <v>45</v>
      </c>
      <c r="B462" s="601">
        <v>65004</v>
      </c>
      <c r="C462" s="788" t="s">
        <v>536</v>
      </c>
      <c r="D462" s="789"/>
      <c r="E462" s="789"/>
      <c r="F462" s="789"/>
      <c r="G462" s="789"/>
      <c r="H462" s="789"/>
      <c r="I462" s="789"/>
      <c r="J462" s="790"/>
      <c r="K462" t="str">
        <f>H463</f>
        <v>und</v>
      </c>
      <c r="L462" s="274">
        <f>J487</f>
        <v>386.35</v>
      </c>
    </row>
    <row r="463" spans="1:10" ht="15.75" thickBot="1">
      <c r="A463" s="791" t="s">
        <v>47</v>
      </c>
      <c r="B463" s="792"/>
      <c r="C463" s="82" t="s">
        <v>527</v>
      </c>
      <c r="D463" s="793" t="s">
        <v>48</v>
      </c>
      <c r="E463" s="794"/>
      <c r="F463" s="40"/>
      <c r="G463" s="561" t="s">
        <v>49</v>
      </c>
      <c r="H463" s="160" t="s">
        <v>148</v>
      </c>
      <c r="I463" s="795"/>
      <c r="J463" s="796"/>
    </row>
    <row r="464" spans="1:10" ht="15">
      <c r="A464" s="797" t="s">
        <v>51</v>
      </c>
      <c r="B464" s="798" t="s">
        <v>52</v>
      </c>
      <c r="C464" s="798" t="s">
        <v>53</v>
      </c>
      <c r="D464" s="799" t="s">
        <v>54</v>
      </c>
      <c r="E464" s="801" t="s">
        <v>55</v>
      </c>
      <c r="F464" s="802"/>
      <c r="G464" s="803"/>
      <c r="H464" s="801" t="s">
        <v>56</v>
      </c>
      <c r="I464" s="802"/>
      <c r="J464" s="804"/>
    </row>
    <row r="465" spans="1:10" ht="15">
      <c r="A465" s="765"/>
      <c r="B465" s="767"/>
      <c r="C465" s="767"/>
      <c r="D465" s="800"/>
      <c r="E465" s="560" t="s">
        <v>57</v>
      </c>
      <c r="F465" s="560" t="s">
        <v>58</v>
      </c>
      <c r="G465" s="560" t="s">
        <v>59</v>
      </c>
      <c r="H465" s="560" t="s">
        <v>58</v>
      </c>
      <c r="I465" s="560" t="s">
        <v>59</v>
      </c>
      <c r="J465" s="41" t="s">
        <v>60</v>
      </c>
    </row>
    <row r="466" spans="1:10" ht="22.5">
      <c r="A466" s="581" t="s">
        <v>436</v>
      </c>
      <c r="B466" s="44">
        <v>80170</v>
      </c>
      <c r="C466" s="42" t="s">
        <v>653</v>
      </c>
      <c r="D466" s="562" t="s">
        <v>150</v>
      </c>
      <c r="E466" s="591">
        <v>1.6</v>
      </c>
      <c r="F466" s="591">
        <v>1</v>
      </c>
      <c r="G466" s="591">
        <v>0</v>
      </c>
      <c r="H466" s="562">
        <v>226.41</v>
      </c>
      <c r="I466" s="562">
        <v>11.57</v>
      </c>
      <c r="J466" s="43">
        <f>ROUND(E466*(F466*H466)+(G466*I466),2)</f>
        <v>362.26</v>
      </c>
    </row>
    <row r="467" spans="1:10" ht="15">
      <c r="A467" s="779" t="s">
        <v>61</v>
      </c>
      <c r="B467" s="780"/>
      <c r="C467" s="780"/>
      <c r="D467" s="780"/>
      <c r="E467" s="780"/>
      <c r="F467" s="780"/>
      <c r="G467" s="780"/>
      <c r="H467" s="780"/>
      <c r="I467" s="755"/>
      <c r="J467" s="45">
        <f>SUM(J466:J466)</f>
        <v>362.26</v>
      </c>
    </row>
    <row r="468" spans="1:10" ht="22.5">
      <c r="A468" s="46" t="s">
        <v>51</v>
      </c>
      <c r="B468" s="47" t="s">
        <v>52</v>
      </c>
      <c r="C468" s="557" t="s">
        <v>62</v>
      </c>
      <c r="D468" s="557" t="s">
        <v>63</v>
      </c>
      <c r="E468" s="557" t="s">
        <v>19</v>
      </c>
      <c r="F468" s="270" t="s">
        <v>64</v>
      </c>
      <c r="G468" s="270" t="s">
        <v>65</v>
      </c>
      <c r="H468" s="781" t="s">
        <v>66</v>
      </c>
      <c r="I468" s="782"/>
      <c r="J468" s="48" t="s">
        <v>67</v>
      </c>
    </row>
    <row r="469" spans="1:10" ht="22.5">
      <c r="A469" s="581" t="s">
        <v>436</v>
      </c>
      <c r="B469" s="589">
        <v>10115</v>
      </c>
      <c r="C469" s="42" t="s">
        <v>656</v>
      </c>
      <c r="D469" s="49" t="s">
        <v>655</v>
      </c>
      <c r="E469" s="600">
        <v>1.2</v>
      </c>
      <c r="F469" s="35">
        <v>7.43</v>
      </c>
      <c r="G469" s="165">
        <v>1.5727</v>
      </c>
      <c r="H469" s="774">
        <f>F469*(1+G469)</f>
        <v>19.115161</v>
      </c>
      <c r="I469" s="775"/>
      <c r="J469" s="84">
        <f>ROUND(H469*E469,2)</f>
        <v>22.94</v>
      </c>
    </row>
    <row r="470" spans="1:10" ht="15">
      <c r="A470" s="754" t="s">
        <v>68</v>
      </c>
      <c r="B470" s="755"/>
      <c r="C470" s="756"/>
      <c r="D470" s="756"/>
      <c r="E470" s="756"/>
      <c r="F470" s="756"/>
      <c r="G470" s="756"/>
      <c r="H470" s="756"/>
      <c r="I470" s="756"/>
      <c r="J470" s="87">
        <f>SUM(J469:J469)</f>
        <v>22.94</v>
      </c>
    </row>
    <row r="471" spans="1:10" ht="15">
      <c r="A471" s="783" t="s">
        <v>69</v>
      </c>
      <c r="B471" s="784"/>
      <c r="C471" s="784"/>
      <c r="D471" s="784"/>
      <c r="E471" s="784"/>
      <c r="F471" s="784"/>
      <c r="G471" s="784"/>
      <c r="H471" s="784"/>
      <c r="I471" s="166">
        <v>0.05</v>
      </c>
      <c r="J471" s="596">
        <f>ROUND(J470*I471,2)</f>
        <v>1.15</v>
      </c>
    </row>
    <row r="472" spans="1:10" ht="15">
      <c r="A472" s="785" t="s">
        <v>70</v>
      </c>
      <c r="B472" s="786"/>
      <c r="C472" s="787"/>
      <c r="D472" s="787"/>
      <c r="E472" s="787"/>
      <c r="F472" s="787"/>
      <c r="G472" s="787"/>
      <c r="H472" s="787"/>
      <c r="I472" s="787"/>
      <c r="J472" s="597">
        <v>1</v>
      </c>
    </row>
    <row r="473" spans="1:10" ht="15">
      <c r="A473" s="754" t="s">
        <v>71</v>
      </c>
      <c r="B473" s="755"/>
      <c r="C473" s="756"/>
      <c r="D473" s="756"/>
      <c r="E473" s="756"/>
      <c r="F473" s="756"/>
      <c r="G473" s="756"/>
      <c r="H473" s="756"/>
      <c r="I473" s="756"/>
      <c r="J473" s="45">
        <f>ROUND((J467+J470+J471)/J472,2)</f>
        <v>386.35</v>
      </c>
    </row>
    <row r="474" spans="1:10" ht="15">
      <c r="A474" s="46" t="s">
        <v>51</v>
      </c>
      <c r="B474" s="47" t="s">
        <v>52</v>
      </c>
      <c r="C474" s="557" t="s">
        <v>72</v>
      </c>
      <c r="D474" s="557" t="s">
        <v>63</v>
      </c>
      <c r="E474" s="769" t="s">
        <v>73</v>
      </c>
      <c r="F474" s="769"/>
      <c r="G474" s="769"/>
      <c r="H474" s="769" t="s">
        <v>74</v>
      </c>
      <c r="I474" s="769"/>
      <c r="J474" s="559" t="s">
        <v>60</v>
      </c>
    </row>
    <row r="475" spans="1:10" ht="15">
      <c r="A475" s="581"/>
      <c r="B475" s="599"/>
      <c r="C475" s="42"/>
      <c r="D475" s="49"/>
      <c r="E475" s="776"/>
      <c r="F475" s="777"/>
      <c r="G475" s="778"/>
      <c r="H475" s="774"/>
      <c r="I475" s="775"/>
      <c r="J475" s="598"/>
    </row>
    <row r="476" spans="1:10" ht="15">
      <c r="A476" s="754" t="s">
        <v>75</v>
      </c>
      <c r="B476" s="755"/>
      <c r="C476" s="756"/>
      <c r="D476" s="756"/>
      <c r="E476" s="756"/>
      <c r="F476" s="756"/>
      <c r="G476" s="756"/>
      <c r="H476" s="756"/>
      <c r="I476" s="756"/>
      <c r="J476" s="45">
        <f>SUM(J475:J475)</f>
        <v>0</v>
      </c>
    </row>
    <row r="477" spans="1:10" ht="15">
      <c r="A477" s="46" t="s">
        <v>51</v>
      </c>
      <c r="B477" s="47" t="s">
        <v>52</v>
      </c>
      <c r="C477" s="557" t="s">
        <v>76</v>
      </c>
      <c r="D477" s="557" t="s">
        <v>63</v>
      </c>
      <c r="E477" s="769" t="s">
        <v>73</v>
      </c>
      <c r="F477" s="769"/>
      <c r="G477" s="769"/>
      <c r="H477" s="769" t="s">
        <v>74</v>
      </c>
      <c r="I477" s="769"/>
      <c r="J477" s="559" t="s">
        <v>60</v>
      </c>
    </row>
    <row r="478" spans="1:10" ht="15">
      <c r="A478" s="581"/>
      <c r="B478" s="57"/>
      <c r="C478" s="42"/>
      <c r="D478" s="49"/>
      <c r="E478" s="771"/>
      <c r="F478" s="772"/>
      <c r="G478" s="773"/>
      <c r="H478" s="774"/>
      <c r="I478" s="775"/>
      <c r="J478" s="84"/>
    </row>
    <row r="479" spans="1:10" ht="15">
      <c r="A479" s="754" t="s">
        <v>77</v>
      </c>
      <c r="B479" s="755"/>
      <c r="C479" s="756"/>
      <c r="D479" s="756"/>
      <c r="E479" s="756"/>
      <c r="F479" s="756"/>
      <c r="G479" s="756"/>
      <c r="H479" s="756"/>
      <c r="I479" s="756"/>
      <c r="J479" s="45">
        <f>SUM(J478:J478)</f>
        <v>0</v>
      </c>
    </row>
    <row r="480" spans="1:10" ht="15">
      <c r="A480" s="46" t="s">
        <v>51</v>
      </c>
      <c r="B480" s="47" t="s">
        <v>52</v>
      </c>
      <c r="C480" s="557" t="s">
        <v>78</v>
      </c>
      <c r="D480" s="557" t="s">
        <v>63</v>
      </c>
      <c r="E480" s="769" t="s">
        <v>73</v>
      </c>
      <c r="F480" s="769"/>
      <c r="G480" s="769"/>
      <c r="H480" s="769" t="s">
        <v>74</v>
      </c>
      <c r="I480" s="769"/>
      <c r="J480" s="559" t="s">
        <v>60</v>
      </c>
    </row>
    <row r="481" spans="1:10" ht="15">
      <c r="A481" s="56"/>
      <c r="B481" s="44"/>
      <c r="C481" s="42"/>
      <c r="D481" s="49"/>
      <c r="E481" s="760"/>
      <c r="F481" s="761"/>
      <c r="G481" s="761"/>
      <c r="H481" s="762"/>
      <c r="I481" s="763"/>
      <c r="J481" s="59"/>
    </row>
    <row r="482" spans="1:10" ht="15">
      <c r="A482" s="754" t="s">
        <v>79</v>
      </c>
      <c r="B482" s="755"/>
      <c r="C482" s="756"/>
      <c r="D482" s="756"/>
      <c r="E482" s="756"/>
      <c r="F482" s="756"/>
      <c r="G482" s="756"/>
      <c r="H482" s="756"/>
      <c r="I482" s="756"/>
      <c r="J482" s="45">
        <f>SUM(J481)</f>
        <v>0</v>
      </c>
    </row>
    <row r="483" spans="1:10" ht="15">
      <c r="A483" s="764" t="s">
        <v>51</v>
      </c>
      <c r="B483" s="766" t="s">
        <v>52</v>
      </c>
      <c r="C483" s="767" t="s">
        <v>80</v>
      </c>
      <c r="D483" s="769" t="s">
        <v>81</v>
      </c>
      <c r="E483" s="769"/>
      <c r="F483" s="769" t="s">
        <v>82</v>
      </c>
      <c r="G483" s="769"/>
      <c r="H483" s="769" t="s">
        <v>74</v>
      </c>
      <c r="I483" s="769"/>
      <c r="J483" s="749" t="s">
        <v>60</v>
      </c>
    </row>
    <row r="484" spans="1:10" ht="15">
      <c r="A484" s="765"/>
      <c r="B484" s="767"/>
      <c r="C484" s="768"/>
      <c r="D484" s="558" t="s">
        <v>83</v>
      </c>
      <c r="E484" s="558" t="s">
        <v>84</v>
      </c>
      <c r="F484" s="770"/>
      <c r="G484" s="770"/>
      <c r="H484" s="770"/>
      <c r="I484" s="770"/>
      <c r="J484" s="750"/>
    </row>
    <row r="485" spans="1:10" ht="15">
      <c r="A485" s="56"/>
      <c r="B485" s="60"/>
      <c r="C485" s="61"/>
      <c r="D485" s="62"/>
      <c r="E485" s="62"/>
      <c r="F485" s="751"/>
      <c r="G485" s="752"/>
      <c r="H485" s="753"/>
      <c r="I485" s="753"/>
      <c r="J485" s="55"/>
    </row>
    <row r="486" spans="1:10" ht="15.75" thickBot="1">
      <c r="A486" s="754" t="s">
        <v>85</v>
      </c>
      <c r="B486" s="755"/>
      <c r="C486" s="756"/>
      <c r="D486" s="756"/>
      <c r="E486" s="756"/>
      <c r="F486" s="756"/>
      <c r="G486" s="756"/>
      <c r="H486" s="756"/>
      <c r="I486" s="756"/>
      <c r="J486" s="45">
        <f>SUM(J485:J485)</f>
        <v>0</v>
      </c>
    </row>
    <row r="487" spans="1:10" ht="15.75" thickBot="1">
      <c r="A487" s="757" t="s">
        <v>86</v>
      </c>
      <c r="B487" s="758"/>
      <c r="C487" s="759"/>
      <c r="D487" s="759"/>
      <c r="E487" s="759"/>
      <c r="F487" s="759"/>
      <c r="G487" s="759"/>
      <c r="H487" s="759"/>
      <c r="I487" s="759"/>
      <c r="J487" s="602">
        <f>J473+J476+J479+J486+J482</f>
        <v>386.35</v>
      </c>
    </row>
    <row r="488" spans="1:12" ht="15">
      <c r="A488" s="39" t="s">
        <v>45</v>
      </c>
      <c r="B488" s="601">
        <v>65005</v>
      </c>
      <c r="C488" s="788" t="s">
        <v>537</v>
      </c>
      <c r="D488" s="789"/>
      <c r="E488" s="789"/>
      <c r="F488" s="789"/>
      <c r="G488" s="789"/>
      <c r="H488" s="789"/>
      <c r="I488" s="789"/>
      <c r="J488" s="790"/>
      <c r="K488" t="str">
        <f>H489</f>
        <v>und</v>
      </c>
      <c r="L488" s="274">
        <f>J513</f>
        <v>239.45</v>
      </c>
    </row>
    <row r="489" spans="1:10" ht="15.75" thickBot="1">
      <c r="A489" s="791" t="s">
        <v>47</v>
      </c>
      <c r="B489" s="792"/>
      <c r="C489" s="82" t="s">
        <v>527</v>
      </c>
      <c r="D489" s="793" t="s">
        <v>48</v>
      </c>
      <c r="E489" s="794"/>
      <c r="F489" s="40"/>
      <c r="G489" s="561" t="s">
        <v>49</v>
      </c>
      <c r="H489" s="160" t="s">
        <v>148</v>
      </c>
      <c r="I489" s="795"/>
      <c r="J489" s="796"/>
    </row>
    <row r="490" spans="1:10" ht="15">
      <c r="A490" s="797" t="s">
        <v>51</v>
      </c>
      <c r="B490" s="798" t="s">
        <v>52</v>
      </c>
      <c r="C490" s="798" t="s">
        <v>53</v>
      </c>
      <c r="D490" s="799" t="s">
        <v>54</v>
      </c>
      <c r="E490" s="801" t="s">
        <v>55</v>
      </c>
      <c r="F490" s="802"/>
      <c r="G490" s="803"/>
      <c r="H490" s="801" t="s">
        <v>56</v>
      </c>
      <c r="I490" s="802"/>
      <c r="J490" s="804"/>
    </row>
    <row r="491" spans="1:10" ht="15">
      <c r="A491" s="765"/>
      <c r="B491" s="767"/>
      <c r="C491" s="767"/>
      <c r="D491" s="800"/>
      <c r="E491" s="560" t="s">
        <v>57</v>
      </c>
      <c r="F491" s="560" t="s">
        <v>58</v>
      </c>
      <c r="G491" s="560" t="s">
        <v>59</v>
      </c>
      <c r="H491" s="560" t="s">
        <v>58</v>
      </c>
      <c r="I491" s="560" t="s">
        <v>59</v>
      </c>
      <c r="J491" s="41" t="s">
        <v>60</v>
      </c>
    </row>
    <row r="492" spans="1:10" ht="22.5">
      <c r="A492" s="581" t="s">
        <v>436</v>
      </c>
      <c r="B492" s="44">
        <v>80170</v>
      </c>
      <c r="C492" s="42" t="s">
        <v>653</v>
      </c>
      <c r="D492" s="562" t="s">
        <v>150</v>
      </c>
      <c r="E492" s="591">
        <v>1</v>
      </c>
      <c r="F492" s="591">
        <v>1</v>
      </c>
      <c r="G492" s="591">
        <v>0</v>
      </c>
      <c r="H492" s="562">
        <v>226.41</v>
      </c>
      <c r="I492" s="562">
        <v>11.57</v>
      </c>
      <c r="J492" s="43">
        <f>ROUND(E492*(F492*H492)+(G492*I492),2)</f>
        <v>226.41</v>
      </c>
    </row>
    <row r="493" spans="1:10" ht="15">
      <c r="A493" s="779" t="s">
        <v>61</v>
      </c>
      <c r="B493" s="780"/>
      <c r="C493" s="780"/>
      <c r="D493" s="780"/>
      <c r="E493" s="780"/>
      <c r="F493" s="780"/>
      <c r="G493" s="780"/>
      <c r="H493" s="780"/>
      <c r="I493" s="755"/>
      <c r="J493" s="45">
        <f>SUM(J492:J492)</f>
        <v>226.41</v>
      </c>
    </row>
    <row r="494" spans="1:10" ht="22.5">
      <c r="A494" s="46" t="s">
        <v>51</v>
      </c>
      <c r="B494" s="47" t="s">
        <v>52</v>
      </c>
      <c r="C494" s="557" t="s">
        <v>62</v>
      </c>
      <c r="D494" s="557" t="s">
        <v>63</v>
      </c>
      <c r="E494" s="557" t="s">
        <v>19</v>
      </c>
      <c r="F494" s="270" t="s">
        <v>64</v>
      </c>
      <c r="G494" s="270" t="s">
        <v>65</v>
      </c>
      <c r="H494" s="781" t="s">
        <v>66</v>
      </c>
      <c r="I494" s="782"/>
      <c r="J494" s="48" t="s">
        <v>67</v>
      </c>
    </row>
    <row r="495" spans="1:10" ht="22.5">
      <c r="A495" s="581" t="s">
        <v>436</v>
      </c>
      <c r="B495" s="589">
        <v>10115</v>
      </c>
      <c r="C495" s="42" t="s">
        <v>656</v>
      </c>
      <c r="D495" s="49" t="s">
        <v>655</v>
      </c>
      <c r="E495" s="600">
        <v>0.65</v>
      </c>
      <c r="F495" s="35">
        <v>7.43</v>
      </c>
      <c r="G495" s="165">
        <v>1.5727</v>
      </c>
      <c r="H495" s="774">
        <f>F495*(1+G495)</f>
        <v>19.115161</v>
      </c>
      <c r="I495" s="775"/>
      <c r="J495" s="84">
        <f>ROUND(H495*E495,2)</f>
        <v>12.42</v>
      </c>
    </row>
    <row r="496" spans="1:10" ht="15">
      <c r="A496" s="754" t="s">
        <v>68</v>
      </c>
      <c r="B496" s="755"/>
      <c r="C496" s="756"/>
      <c r="D496" s="756"/>
      <c r="E496" s="756"/>
      <c r="F496" s="756"/>
      <c r="G496" s="756"/>
      <c r="H496" s="756"/>
      <c r="I496" s="756"/>
      <c r="J496" s="87">
        <f>SUM(J495:J495)</f>
        <v>12.42</v>
      </c>
    </row>
    <row r="497" spans="1:10" ht="15">
      <c r="A497" s="783" t="s">
        <v>69</v>
      </c>
      <c r="B497" s="784"/>
      <c r="C497" s="784"/>
      <c r="D497" s="784"/>
      <c r="E497" s="784"/>
      <c r="F497" s="784"/>
      <c r="G497" s="784"/>
      <c r="H497" s="784"/>
      <c r="I497" s="166">
        <v>0.05</v>
      </c>
      <c r="J497" s="596">
        <f>ROUND(J496*I497,2)</f>
        <v>0.62</v>
      </c>
    </row>
    <row r="498" spans="1:10" ht="15">
      <c r="A498" s="785" t="s">
        <v>70</v>
      </c>
      <c r="B498" s="786"/>
      <c r="C498" s="787"/>
      <c r="D498" s="787"/>
      <c r="E498" s="787"/>
      <c r="F498" s="787"/>
      <c r="G498" s="787"/>
      <c r="H498" s="787"/>
      <c r="I498" s="787"/>
      <c r="J498" s="597">
        <v>1</v>
      </c>
    </row>
    <row r="499" spans="1:10" ht="15">
      <c r="A499" s="754" t="s">
        <v>71</v>
      </c>
      <c r="B499" s="755"/>
      <c r="C499" s="756"/>
      <c r="D499" s="756"/>
      <c r="E499" s="756"/>
      <c r="F499" s="756"/>
      <c r="G499" s="756"/>
      <c r="H499" s="756"/>
      <c r="I499" s="756"/>
      <c r="J499" s="45">
        <f>ROUND((J493+J496+J497)/J498,2)</f>
        <v>239.45</v>
      </c>
    </row>
    <row r="500" spans="1:10" ht="15">
      <c r="A500" s="46" t="s">
        <v>51</v>
      </c>
      <c r="B500" s="47" t="s">
        <v>52</v>
      </c>
      <c r="C500" s="557" t="s">
        <v>72</v>
      </c>
      <c r="D500" s="557" t="s">
        <v>63</v>
      </c>
      <c r="E500" s="769" t="s">
        <v>73</v>
      </c>
      <c r="F500" s="769"/>
      <c r="G500" s="769"/>
      <c r="H500" s="769" t="s">
        <v>74</v>
      </c>
      <c r="I500" s="769"/>
      <c r="J500" s="559" t="s">
        <v>60</v>
      </c>
    </row>
    <row r="501" spans="1:10" ht="15">
      <c r="A501" s="581"/>
      <c r="B501" s="599"/>
      <c r="C501" s="42"/>
      <c r="D501" s="49"/>
      <c r="E501" s="776"/>
      <c r="F501" s="777"/>
      <c r="G501" s="778"/>
      <c r="H501" s="774"/>
      <c r="I501" s="775"/>
      <c r="J501" s="598"/>
    </row>
    <row r="502" spans="1:10" ht="15">
      <c r="A502" s="754" t="s">
        <v>75</v>
      </c>
      <c r="B502" s="755"/>
      <c r="C502" s="756"/>
      <c r="D502" s="756"/>
      <c r="E502" s="756"/>
      <c r="F502" s="756"/>
      <c r="G502" s="756"/>
      <c r="H502" s="756"/>
      <c r="I502" s="756"/>
      <c r="J502" s="45">
        <f>SUM(J501:J501)</f>
        <v>0</v>
      </c>
    </row>
    <row r="503" spans="1:10" ht="15">
      <c r="A503" s="46" t="s">
        <v>51</v>
      </c>
      <c r="B503" s="47" t="s">
        <v>52</v>
      </c>
      <c r="C503" s="557" t="s">
        <v>76</v>
      </c>
      <c r="D503" s="557" t="s">
        <v>63</v>
      </c>
      <c r="E503" s="769" t="s">
        <v>73</v>
      </c>
      <c r="F503" s="769"/>
      <c r="G503" s="769"/>
      <c r="H503" s="769" t="s">
        <v>74</v>
      </c>
      <c r="I503" s="769"/>
      <c r="J503" s="559" t="s">
        <v>60</v>
      </c>
    </row>
    <row r="504" spans="1:10" ht="15">
      <c r="A504" s="581"/>
      <c r="B504" s="57"/>
      <c r="C504" s="42"/>
      <c r="D504" s="49"/>
      <c r="E504" s="771"/>
      <c r="F504" s="772"/>
      <c r="G504" s="773"/>
      <c r="H504" s="774"/>
      <c r="I504" s="775"/>
      <c r="J504" s="84"/>
    </row>
    <row r="505" spans="1:10" ht="15">
      <c r="A505" s="754" t="s">
        <v>77</v>
      </c>
      <c r="B505" s="755"/>
      <c r="C505" s="756"/>
      <c r="D505" s="756"/>
      <c r="E505" s="756"/>
      <c r="F505" s="756"/>
      <c r="G505" s="756"/>
      <c r="H505" s="756"/>
      <c r="I505" s="756"/>
      <c r="J505" s="45">
        <f>SUM(J504:J504)</f>
        <v>0</v>
      </c>
    </row>
    <row r="506" spans="1:10" ht="15">
      <c r="A506" s="46" t="s">
        <v>51</v>
      </c>
      <c r="B506" s="47" t="s">
        <v>52</v>
      </c>
      <c r="C506" s="557" t="s">
        <v>78</v>
      </c>
      <c r="D506" s="557" t="s">
        <v>63</v>
      </c>
      <c r="E506" s="769" t="s">
        <v>73</v>
      </c>
      <c r="F506" s="769"/>
      <c r="G506" s="769"/>
      <c r="H506" s="769" t="s">
        <v>74</v>
      </c>
      <c r="I506" s="769"/>
      <c r="J506" s="559" t="s">
        <v>60</v>
      </c>
    </row>
    <row r="507" spans="1:10" ht="15">
      <c r="A507" s="56"/>
      <c r="B507" s="44"/>
      <c r="C507" s="42"/>
      <c r="D507" s="49"/>
      <c r="E507" s="760"/>
      <c r="F507" s="761"/>
      <c r="G507" s="761"/>
      <c r="H507" s="762"/>
      <c r="I507" s="763"/>
      <c r="J507" s="59"/>
    </row>
    <row r="508" spans="1:10" ht="15">
      <c r="A508" s="754" t="s">
        <v>79</v>
      </c>
      <c r="B508" s="755"/>
      <c r="C508" s="756"/>
      <c r="D508" s="756"/>
      <c r="E508" s="756"/>
      <c r="F508" s="756"/>
      <c r="G508" s="756"/>
      <c r="H508" s="756"/>
      <c r="I508" s="756"/>
      <c r="J508" s="45">
        <f>SUM(J507)</f>
        <v>0</v>
      </c>
    </row>
    <row r="509" spans="1:10" ht="15">
      <c r="A509" s="764" t="s">
        <v>51</v>
      </c>
      <c r="B509" s="766" t="s">
        <v>52</v>
      </c>
      <c r="C509" s="767" t="s">
        <v>80</v>
      </c>
      <c r="D509" s="769" t="s">
        <v>81</v>
      </c>
      <c r="E509" s="769"/>
      <c r="F509" s="769" t="s">
        <v>82</v>
      </c>
      <c r="G509" s="769"/>
      <c r="H509" s="769" t="s">
        <v>74</v>
      </c>
      <c r="I509" s="769"/>
      <c r="J509" s="749" t="s">
        <v>60</v>
      </c>
    </row>
    <row r="510" spans="1:10" ht="15">
      <c r="A510" s="765"/>
      <c r="B510" s="767"/>
      <c r="C510" s="768"/>
      <c r="D510" s="558" t="s">
        <v>83</v>
      </c>
      <c r="E510" s="558" t="s">
        <v>84</v>
      </c>
      <c r="F510" s="770"/>
      <c r="G510" s="770"/>
      <c r="H510" s="770"/>
      <c r="I510" s="770"/>
      <c r="J510" s="750"/>
    </row>
    <row r="511" spans="1:10" ht="15">
      <c r="A511" s="56"/>
      <c r="B511" s="60"/>
      <c r="C511" s="61"/>
      <c r="D511" s="62"/>
      <c r="E511" s="62"/>
      <c r="F511" s="751"/>
      <c r="G511" s="752"/>
      <c r="H511" s="753"/>
      <c r="I511" s="753"/>
      <c r="J511" s="55"/>
    </row>
    <row r="512" spans="1:10" ht="15.75" thickBot="1">
      <c r="A512" s="754" t="s">
        <v>85</v>
      </c>
      <c r="B512" s="755"/>
      <c r="C512" s="756"/>
      <c r="D512" s="756"/>
      <c r="E512" s="756"/>
      <c r="F512" s="756"/>
      <c r="G512" s="756"/>
      <c r="H512" s="756"/>
      <c r="I512" s="756"/>
      <c r="J512" s="45">
        <f>SUM(J511:J511)</f>
        <v>0</v>
      </c>
    </row>
    <row r="513" spans="1:10" ht="15.75" thickBot="1">
      <c r="A513" s="757" t="s">
        <v>86</v>
      </c>
      <c r="B513" s="758"/>
      <c r="C513" s="759"/>
      <c r="D513" s="759"/>
      <c r="E513" s="759"/>
      <c r="F513" s="759"/>
      <c r="G513" s="759"/>
      <c r="H513" s="759"/>
      <c r="I513" s="759"/>
      <c r="J513" s="602">
        <f>J499+J502+J505+J512+J508</f>
        <v>239.45</v>
      </c>
    </row>
    <row r="514" spans="1:12" ht="15">
      <c r="A514" s="39" t="s">
        <v>45</v>
      </c>
      <c r="B514" s="601">
        <v>65006</v>
      </c>
      <c r="C514" s="788" t="s">
        <v>538</v>
      </c>
      <c r="D514" s="789"/>
      <c r="E514" s="789"/>
      <c r="F514" s="789"/>
      <c r="G514" s="789"/>
      <c r="H514" s="789"/>
      <c r="I514" s="789"/>
      <c r="J514" s="790"/>
      <c r="K514" t="str">
        <f>H515</f>
        <v>und</v>
      </c>
      <c r="L514" s="274">
        <f>J539</f>
        <v>20.08</v>
      </c>
    </row>
    <row r="515" spans="1:10" ht="15.75" thickBot="1">
      <c r="A515" s="791" t="s">
        <v>47</v>
      </c>
      <c r="B515" s="792"/>
      <c r="C515" s="82" t="s">
        <v>527</v>
      </c>
      <c r="D515" s="793" t="s">
        <v>48</v>
      </c>
      <c r="E515" s="794"/>
      <c r="F515" s="40"/>
      <c r="G515" s="561" t="s">
        <v>49</v>
      </c>
      <c r="H515" s="160" t="s">
        <v>148</v>
      </c>
      <c r="I515" s="795"/>
      <c r="J515" s="796"/>
    </row>
    <row r="516" spans="1:10" ht="15">
      <c r="A516" s="797" t="s">
        <v>51</v>
      </c>
      <c r="B516" s="798" t="s">
        <v>52</v>
      </c>
      <c r="C516" s="798" t="s">
        <v>53</v>
      </c>
      <c r="D516" s="799" t="s">
        <v>54</v>
      </c>
      <c r="E516" s="801" t="s">
        <v>55</v>
      </c>
      <c r="F516" s="802"/>
      <c r="G516" s="803"/>
      <c r="H516" s="801" t="s">
        <v>56</v>
      </c>
      <c r="I516" s="802"/>
      <c r="J516" s="804"/>
    </row>
    <row r="517" spans="1:10" ht="15">
      <c r="A517" s="765"/>
      <c r="B517" s="767"/>
      <c r="C517" s="767"/>
      <c r="D517" s="800"/>
      <c r="E517" s="560" t="s">
        <v>57</v>
      </c>
      <c r="F517" s="560" t="s">
        <v>58</v>
      </c>
      <c r="G517" s="560" t="s">
        <v>59</v>
      </c>
      <c r="H517" s="560" t="s">
        <v>58</v>
      </c>
      <c r="I517" s="560" t="s">
        <v>59</v>
      </c>
      <c r="J517" s="41" t="s">
        <v>60</v>
      </c>
    </row>
    <row r="518" spans="1:10" ht="15">
      <c r="A518" s="581"/>
      <c r="B518" s="44"/>
      <c r="C518" s="42"/>
      <c r="D518" s="562"/>
      <c r="E518" s="591"/>
      <c r="F518" s="591"/>
      <c r="G518" s="591"/>
      <c r="H518" s="562"/>
      <c r="I518" s="562"/>
      <c r="J518" s="43"/>
    </row>
    <row r="519" spans="1:10" ht="15">
      <c r="A519" s="779" t="s">
        <v>61</v>
      </c>
      <c r="B519" s="780"/>
      <c r="C519" s="780"/>
      <c r="D519" s="780"/>
      <c r="E519" s="780"/>
      <c r="F519" s="780"/>
      <c r="G519" s="780"/>
      <c r="H519" s="780"/>
      <c r="I519" s="755"/>
      <c r="J519" s="45">
        <f>SUM(J518:J518)</f>
        <v>0</v>
      </c>
    </row>
    <row r="520" spans="1:10" ht="22.5">
      <c r="A520" s="46" t="s">
        <v>51</v>
      </c>
      <c r="B520" s="47" t="s">
        <v>52</v>
      </c>
      <c r="C520" s="557" t="s">
        <v>62</v>
      </c>
      <c r="D520" s="557" t="s">
        <v>63</v>
      </c>
      <c r="E520" s="557" t="s">
        <v>19</v>
      </c>
      <c r="F520" s="270" t="s">
        <v>64</v>
      </c>
      <c r="G520" s="270" t="s">
        <v>65</v>
      </c>
      <c r="H520" s="781" t="s">
        <v>66</v>
      </c>
      <c r="I520" s="782"/>
      <c r="J520" s="48" t="s">
        <v>67</v>
      </c>
    </row>
    <row r="521" spans="1:10" ht="22.5">
      <c r="A521" s="581" t="s">
        <v>436</v>
      </c>
      <c r="B521" s="589">
        <v>10115</v>
      </c>
      <c r="C521" s="42" t="s">
        <v>656</v>
      </c>
      <c r="D521" s="49" t="s">
        <v>655</v>
      </c>
      <c r="E521" s="600">
        <v>1</v>
      </c>
      <c r="F521" s="35">
        <v>7.43</v>
      </c>
      <c r="G521" s="165">
        <v>1.5727</v>
      </c>
      <c r="H521" s="774">
        <f>F521*(1+G521)</f>
        <v>19.115161</v>
      </c>
      <c r="I521" s="775"/>
      <c r="J521" s="84">
        <f>ROUND(H521*E521,2)</f>
        <v>19.12</v>
      </c>
    </row>
    <row r="522" spans="1:10" ht="15">
      <c r="A522" s="754" t="s">
        <v>68</v>
      </c>
      <c r="B522" s="755"/>
      <c r="C522" s="756"/>
      <c r="D522" s="756"/>
      <c r="E522" s="756"/>
      <c r="F522" s="756"/>
      <c r="G522" s="756"/>
      <c r="H522" s="756"/>
      <c r="I522" s="756"/>
      <c r="J522" s="87">
        <f>SUM(J521:J521)</f>
        <v>19.12</v>
      </c>
    </row>
    <row r="523" spans="1:10" ht="15">
      <c r="A523" s="783" t="s">
        <v>69</v>
      </c>
      <c r="B523" s="784"/>
      <c r="C523" s="784"/>
      <c r="D523" s="784"/>
      <c r="E523" s="784"/>
      <c r="F523" s="784"/>
      <c r="G523" s="784"/>
      <c r="H523" s="784"/>
      <c r="I523" s="166">
        <v>0.05</v>
      </c>
      <c r="J523" s="596">
        <f>ROUND(J522*I523,2)</f>
        <v>0.96</v>
      </c>
    </row>
    <row r="524" spans="1:10" ht="15">
      <c r="A524" s="785" t="s">
        <v>70</v>
      </c>
      <c r="B524" s="786"/>
      <c r="C524" s="787"/>
      <c r="D524" s="787"/>
      <c r="E524" s="787"/>
      <c r="F524" s="787"/>
      <c r="G524" s="787"/>
      <c r="H524" s="787"/>
      <c r="I524" s="787"/>
      <c r="J524" s="597">
        <v>1</v>
      </c>
    </row>
    <row r="525" spans="1:10" ht="15">
      <c r="A525" s="754" t="s">
        <v>71</v>
      </c>
      <c r="B525" s="755"/>
      <c r="C525" s="756"/>
      <c r="D525" s="756"/>
      <c r="E525" s="756"/>
      <c r="F525" s="756"/>
      <c r="G525" s="756"/>
      <c r="H525" s="756"/>
      <c r="I525" s="756"/>
      <c r="J525" s="45">
        <f>ROUND((J519+J522+J523)/J524,2)</f>
        <v>20.08</v>
      </c>
    </row>
    <row r="526" spans="1:10" ht="15">
      <c r="A526" s="46" t="s">
        <v>51</v>
      </c>
      <c r="B526" s="47" t="s">
        <v>52</v>
      </c>
      <c r="C526" s="557" t="s">
        <v>72</v>
      </c>
      <c r="D526" s="557" t="s">
        <v>63</v>
      </c>
      <c r="E526" s="769" t="s">
        <v>73</v>
      </c>
      <c r="F526" s="769"/>
      <c r="G526" s="769"/>
      <c r="H526" s="769" t="s">
        <v>74</v>
      </c>
      <c r="I526" s="769"/>
      <c r="J526" s="559" t="s">
        <v>60</v>
      </c>
    </row>
    <row r="527" spans="1:10" ht="15">
      <c r="A527" s="581"/>
      <c r="B527" s="599"/>
      <c r="C527" s="42"/>
      <c r="D527" s="49"/>
      <c r="E527" s="776"/>
      <c r="F527" s="777"/>
      <c r="G527" s="778"/>
      <c r="H527" s="774"/>
      <c r="I527" s="775"/>
      <c r="J527" s="598"/>
    </row>
    <row r="528" spans="1:10" ht="15">
      <c r="A528" s="754" t="s">
        <v>75</v>
      </c>
      <c r="B528" s="755"/>
      <c r="C528" s="756"/>
      <c r="D528" s="756"/>
      <c r="E528" s="756"/>
      <c r="F528" s="756"/>
      <c r="G528" s="756"/>
      <c r="H528" s="756"/>
      <c r="I528" s="756"/>
      <c r="J528" s="45">
        <f>SUM(J527:J527)</f>
        <v>0</v>
      </c>
    </row>
    <row r="529" spans="1:10" ht="15">
      <c r="A529" s="46" t="s">
        <v>51</v>
      </c>
      <c r="B529" s="47" t="s">
        <v>52</v>
      </c>
      <c r="C529" s="557" t="s">
        <v>76</v>
      </c>
      <c r="D529" s="557" t="s">
        <v>63</v>
      </c>
      <c r="E529" s="769" t="s">
        <v>73</v>
      </c>
      <c r="F529" s="769"/>
      <c r="G529" s="769"/>
      <c r="H529" s="769" t="s">
        <v>74</v>
      </c>
      <c r="I529" s="769"/>
      <c r="J529" s="559" t="s">
        <v>60</v>
      </c>
    </row>
    <row r="530" spans="1:10" ht="15">
      <c r="A530" s="581"/>
      <c r="B530" s="57"/>
      <c r="C530" s="42"/>
      <c r="D530" s="49"/>
      <c r="E530" s="771"/>
      <c r="F530" s="772"/>
      <c r="G530" s="773"/>
      <c r="H530" s="774"/>
      <c r="I530" s="775"/>
      <c r="J530" s="84"/>
    </row>
    <row r="531" spans="1:10" ht="15">
      <c r="A531" s="754" t="s">
        <v>77</v>
      </c>
      <c r="B531" s="755"/>
      <c r="C531" s="756"/>
      <c r="D531" s="756"/>
      <c r="E531" s="756"/>
      <c r="F531" s="756"/>
      <c r="G531" s="756"/>
      <c r="H531" s="756"/>
      <c r="I531" s="756"/>
      <c r="J531" s="45">
        <f>SUM(J530:J530)</f>
        <v>0</v>
      </c>
    </row>
    <row r="532" spans="1:10" ht="15">
      <c r="A532" s="46" t="s">
        <v>51</v>
      </c>
      <c r="B532" s="47" t="s">
        <v>52</v>
      </c>
      <c r="C532" s="557" t="s">
        <v>78</v>
      </c>
      <c r="D532" s="557" t="s">
        <v>63</v>
      </c>
      <c r="E532" s="769" t="s">
        <v>73</v>
      </c>
      <c r="F532" s="769"/>
      <c r="G532" s="769"/>
      <c r="H532" s="769" t="s">
        <v>74</v>
      </c>
      <c r="I532" s="769"/>
      <c r="J532" s="559" t="s">
        <v>60</v>
      </c>
    </row>
    <row r="533" spans="1:10" ht="15">
      <c r="A533" s="56"/>
      <c r="B533" s="44"/>
      <c r="C533" s="42"/>
      <c r="D533" s="49"/>
      <c r="E533" s="760"/>
      <c r="F533" s="761"/>
      <c r="G533" s="761"/>
      <c r="H533" s="762"/>
      <c r="I533" s="763"/>
      <c r="J533" s="59"/>
    </row>
    <row r="534" spans="1:10" ht="15">
      <c r="A534" s="754" t="s">
        <v>79</v>
      </c>
      <c r="B534" s="755"/>
      <c r="C534" s="756"/>
      <c r="D534" s="756"/>
      <c r="E534" s="756"/>
      <c r="F534" s="756"/>
      <c r="G534" s="756"/>
      <c r="H534" s="756"/>
      <c r="I534" s="756"/>
      <c r="J534" s="45">
        <f>SUM(J533)</f>
        <v>0</v>
      </c>
    </row>
    <row r="535" spans="1:10" ht="15">
      <c r="A535" s="764" t="s">
        <v>51</v>
      </c>
      <c r="B535" s="766" t="s">
        <v>52</v>
      </c>
      <c r="C535" s="767" t="s">
        <v>80</v>
      </c>
      <c r="D535" s="769" t="s">
        <v>81</v>
      </c>
      <c r="E535" s="769"/>
      <c r="F535" s="769" t="s">
        <v>82</v>
      </c>
      <c r="G535" s="769"/>
      <c r="H535" s="769" t="s">
        <v>74</v>
      </c>
      <c r="I535" s="769"/>
      <c r="J535" s="749" t="s">
        <v>60</v>
      </c>
    </row>
    <row r="536" spans="1:10" ht="15">
      <c r="A536" s="765"/>
      <c r="B536" s="767"/>
      <c r="C536" s="768"/>
      <c r="D536" s="558" t="s">
        <v>83</v>
      </c>
      <c r="E536" s="558" t="s">
        <v>84</v>
      </c>
      <c r="F536" s="770"/>
      <c r="G536" s="770"/>
      <c r="H536" s="770"/>
      <c r="I536" s="770"/>
      <c r="J536" s="750"/>
    </row>
    <row r="537" spans="1:10" ht="15">
      <c r="A537" s="56"/>
      <c r="B537" s="60"/>
      <c r="C537" s="61"/>
      <c r="D537" s="62"/>
      <c r="E537" s="62"/>
      <c r="F537" s="751"/>
      <c r="G537" s="752"/>
      <c r="H537" s="753"/>
      <c r="I537" s="753"/>
      <c r="J537" s="55"/>
    </row>
    <row r="538" spans="1:10" ht="15.75" thickBot="1">
      <c r="A538" s="754" t="s">
        <v>85</v>
      </c>
      <c r="B538" s="755"/>
      <c r="C538" s="756"/>
      <c r="D538" s="756"/>
      <c r="E538" s="756"/>
      <c r="F538" s="756"/>
      <c r="G538" s="756"/>
      <c r="H538" s="756"/>
      <c r="I538" s="756"/>
      <c r="J538" s="45">
        <f>SUM(J537:J537)</f>
        <v>0</v>
      </c>
    </row>
    <row r="539" spans="1:10" ht="15.75" thickBot="1">
      <c r="A539" s="757" t="s">
        <v>86</v>
      </c>
      <c r="B539" s="758"/>
      <c r="C539" s="759"/>
      <c r="D539" s="759"/>
      <c r="E539" s="759"/>
      <c r="F539" s="759"/>
      <c r="G539" s="759"/>
      <c r="H539" s="759"/>
      <c r="I539" s="759"/>
      <c r="J539" s="602">
        <f>J525+J528+J531+J538+J534</f>
        <v>20.08</v>
      </c>
    </row>
    <row r="540" spans="1:11" ht="15">
      <c r="A540" s="39" t="s">
        <v>45</v>
      </c>
      <c r="B540" s="67">
        <v>91001</v>
      </c>
      <c r="C540" s="818" t="s">
        <v>37</v>
      </c>
      <c r="D540" s="819"/>
      <c r="E540" s="819"/>
      <c r="F540" s="819"/>
      <c r="G540" s="819"/>
      <c r="H540" s="819"/>
      <c r="I540" s="819"/>
      <c r="J540" s="820"/>
      <c r="K540" t="str">
        <f>H541</f>
        <v>mês</v>
      </c>
    </row>
    <row r="541" spans="1:10" ht="23.25" thickBot="1">
      <c r="A541" s="791" t="s">
        <v>47</v>
      </c>
      <c r="B541" s="792"/>
      <c r="C541" s="82" t="s">
        <v>351</v>
      </c>
      <c r="D541" s="793" t="s">
        <v>48</v>
      </c>
      <c r="E541" s="794"/>
      <c r="F541" s="40"/>
      <c r="G541" s="399" t="s">
        <v>49</v>
      </c>
      <c r="H541" s="68" t="s">
        <v>20</v>
      </c>
      <c r="I541" s="828" t="s">
        <v>50</v>
      </c>
      <c r="J541" s="829"/>
    </row>
    <row r="542" spans="1:10" ht="15">
      <c r="A542" s="797" t="s">
        <v>51</v>
      </c>
      <c r="B542" s="798" t="s">
        <v>52</v>
      </c>
      <c r="C542" s="798" t="s">
        <v>53</v>
      </c>
      <c r="D542" s="799" t="s">
        <v>54</v>
      </c>
      <c r="E542" s="801" t="s">
        <v>55</v>
      </c>
      <c r="F542" s="802"/>
      <c r="G542" s="803"/>
      <c r="H542" s="801" t="s">
        <v>56</v>
      </c>
      <c r="I542" s="802"/>
      <c r="J542" s="804"/>
    </row>
    <row r="543" spans="1:10" ht="15">
      <c r="A543" s="765"/>
      <c r="B543" s="767"/>
      <c r="C543" s="767"/>
      <c r="D543" s="800"/>
      <c r="E543" s="401" t="s">
        <v>57</v>
      </c>
      <c r="F543" s="401" t="s">
        <v>58</v>
      </c>
      <c r="G543" s="401" t="s">
        <v>59</v>
      </c>
      <c r="H543" s="401" t="s">
        <v>58</v>
      </c>
      <c r="I543" s="401" t="s">
        <v>59</v>
      </c>
      <c r="J543" s="41" t="s">
        <v>60</v>
      </c>
    </row>
    <row r="544" spans="1:10" ht="15">
      <c r="A544" s="69"/>
      <c r="B544" s="70"/>
      <c r="C544" s="71"/>
      <c r="D544" s="72"/>
      <c r="E544" s="73"/>
      <c r="F544" s="73"/>
      <c r="G544" s="73"/>
      <c r="H544" s="73"/>
      <c r="I544" s="73"/>
      <c r="J544" s="43"/>
    </row>
    <row r="545" spans="1:10" ht="15">
      <c r="A545" s="779" t="s">
        <v>61</v>
      </c>
      <c r="B545" s="780"/>
      <c r="C545" s="780"/>
      <c r="D545" s="780"/>
      <c r="E545" s="780"/>
      <c r="F545" s="780"/>
      <c r="G545" s="780"/>
      <c r="H545" s="780"/>
      <c r="I545" s="755"/>
      <c r="J545" s="74">
        <f>SUM(J544:J544)</f>
        <v>0</v>
      </c>
    </row>
    <row r="546" spans="1:10" ht="22.5">
      <c r="A546" s="46" t="s">
        <v>51</v>
      </c>
      <c r="B546" s="47" t="s">
        <v>52</v>
      </c>
      <c r="C546" s="400" t="s">
        <v>62</v>
      </c>
      <c r="D546" s="400" t="s">
        <v>63</v>
      </c>
      <c r="E546" s="400" t="s">
        <v>19</v>
      </c>
      <c r="F546" s="270" t="s">
        <v>64</v>
      </c>
      <c r="G546" s="270" t="s">
        <v>65</v>
      </c>
      <c r="H546" s="781" t="s">
        <v>66</v>
      </c>
      <c r="I546" s="782"/>
      <c r="J546" s="48" t="s">
        <v>67</v>
      </c>
    </row>
    <row r="547" spans="1:10" ht="15">
      <c r="A547" s="56" t="s">
        <v>40</v>
      </c>
      <c r="B547" s="76" t="s">
        <v>169</v>
      </c>
      <c r="C547" s="42" t="s">
        <v>660</v>
      </c>
      <c r="D547" s="49" t="s">
        <v>20</v>
      </c>
      <c r="E547" s="406">
        <v>0.25</v>
      </c>
      <c r="F547" s="35">
        <v>2756.6</v>
      </c>
      <c r="G547" s="165">
        <v>1.174529</v>
      </c>
      <c r="H547" s="774">
        <f>F547*(1+G547)</f>
        <v>5994.306641399999</v>
      </c>
      <c r="I547" s="775"/>
      <c r="J547" s="83">
        <f>ROUND(H547*E547,2)</f>
        <v>1498.58</v>
      </c>
    </row>
    <row r="548" spans="1:10" ht="15">
      <c r="A548" s="56" t="s">
        <v>40</v>
      </c>
      <c r="B548" s="49" t="s">
        <v>170</v>
      </c>
      <c r="C548" s="42" t="s">
        <v>661</v>
      </c>
      <c r="D548" s="49" t="s">
        <v>20</v>
      </c>
      <c r="E548" s="406">
        <v>0.15</v>
      </c>
      <c r="F548" s="35">
        <v>12418.3665</v>
      </c>
      <c r="G548" s="165">
        <v>0.854335</v>
      </c>
      <c r="H548" s="774">
        <f>F548*(1+G548)</f>
        <v>23027.8116437775</v>
      </c>
      <c r="I548" s="775"/>
      <c r="J548" s="84">
        <f>ROUND(H548*E548,2)</f>
        <v>3454.17</v>
      </c>
    </row>
    <row r="549" spans="1:10" ht="15">
      <c r="A549" s="56" t="s">
        <v>40</v>
      </c>
      <c r="B549" s="49" t="s">
        <v>171</v>
      </c>
      <c r="C549" s="42" t="s">
        <v>662</v>
      </c>
      <c r="D549" s="49" t="s">
        <v>20</v>
      </c>
      <c r="E549" s="406">
        <v>0.25</v>
      </c>
      <c r="F549" s="35">
        <v>1766.2547</v>
      </c>
      <c r="G549" s="165">
        <v>1.385173</v>
      </c>
      <c r="H549" s="774">
        <f>F549*(1+G549)</f>
        <v>4212.8230215631</v>
      </c>
      <c r="I549" s="775"/>
      <c r="J549" s="84">
        <f>ROUND(H549*E549,2)</f>
        <v>1053.21</v>
      </c>
    </row>
    <row r="550" spans="1:10" ht="15">
      <c r="A550" s="56" t="s">
        <v>40</v>
      </c>
      <c r="B550" s="85" t="s">
        <v>172</v>
      </c>
      <c r="C550" s="42" t="s">
        <v>663</v>
      </c>
      <c r="D550" s="49" t="s">
        <v>20</v>
      </c>
      <c r="E550" s="406">
        <v>0.25</v>
      </c>
      <c r="F550" s="35">
        <v>2746.9774</v>
      </c>
      <c r="G550" s="165">
        <v>1.181908</v>
      </c>
      <c r="H550" s="774">
        <f>F550*(1+G550)</f>
        <v>5993.6519648792</v>
      </c>
      <c r="I550" s="775"/>
      <c r="J550" s="84">
        <f>ROUND(H550*E550,2)</f>
        <v>1498.41</v>
      </c>
    </row>
    <row r="551" spans="1:10" ht="15">
      <c r="A551" s="56" t="s">
        <v>40</v>
      </c>
      <c r="B551" s="85" t="s">
        <v>173</v>
      </c>
      <c r="C551" s="42" t="s">
        <v>664</v>
      </c>
      <c r="D551" s="49" t="s">
        <v>20</v>
      </c>
      <c r="E551" s="406">
        <v>0.25</v>
      </c>
      <c r="F551" s="35">
        <v>2547.6</v>
      </c>
      <c r="G551" s="165">
        <v>1.213518</v>
      </c>
      <c r="H551" s="774">
        <f>F551*(1+G551)</f>
        <v>5639.1584568</v>
      </c>
      <c r="I551" s="775"/>
      <c r="J551" s="86">
        <f>ROUND(H551*E551,2)</f>
        <v>1409.79</v>
      </c>
    </row>
    <row r="552" spans="1:10" ht="15">
      <c r="A552" s="754" t="s">
        <v>68</v>
      </c>
      <c r="B552" s="755"/>
      <c r="C552" s="756"/>
      <c r="D552" s="756"/>
      <c r="E552" s="756"/>
      <c r="F552" s="756"/>
      <c r="G552" s="756"/>
      <c r="H552" s="756"/>
      <c r="I552" s="756"/>
      <c r="J552" s="87">
        <f>SUM(J547:J551)</f>
        <v>8914.16</v>
      </c>
    </row>
    <row r="553" spans="1:10" ht="15">
      <c r="A553" s="816" t="s">
        <v>69</v>
      </c>
      <c r="B553" s="817"/>
      <c r="C553" s="817"/>
      <c r="D553" s="817"/>
      <c r="E553" s="817"/>
      <c r="F553" s="817"/>
      <c r="G553" s="817"/>
      <c r="H553" s="817"/>
      <c r="I553" s="79">
        <v>0</v>
      </c>
      <c r="J553" s="53">
        <f>ROUND(J552*I553,2)</f>
        <v>0</v>
      </c>
    </row>
    <row r="554" spans="1:10" ht="15">
      <c r="A554" s="810" t="s">
        <v>70</v>
      </c>
      <c r="B554" s="811"/>
      <c r="C554" s="812"/>
      <c r="D554" s="812"/>
      <c r="E554" s="812"/>
      <c r="F554" s="812"/>
      <c r="G554" s="812"/>
      <c r="H554" s="812"/>
      <c r="I554" s="812"/>
      <c r="J554" s="80">
        <v>1</v>
      </c>
    </row>
    <row r="555" spans="1:10" ht="15">
      <c r="A555" s="754" t="s">
        <v>71</v>
      </c>
      <c r="B555" s="755"/>
      <c r="C555" s="756"/>
      <c r="D555" s="756"/>
      <c r="E555" s="756"/>
      <c r="F555" s="756"/>
      <c r="G555" s="756"/>
      <c r="H555" s="756"/>
      <c r="I555" s="756"/>
      <c r="J555" s="45">
        <f>ROUND((J545+J552+J553)/J554,2)</f>
        <v>8914.16</v>
      </c>
    </row>
    <row r="556" spans="1:10" ht="15">
      <c r="A556" s="46" t="s">
        <v>51</v>
      </c>
      <c r="B556" s="47" t="s">
        <v>52</v>
      </c>
      <c r="C556" s="400" t="s">
        <v>72</v>
      </c>
      <c r="D556" s="400" t="s">
        <v>63</v>
      </c>
      <c r="E556" s="769" t="s">
        <v>73</v>
      </c>
      <c r="F556" s="769"/>
      <c r="G556" s="769"/>
      <c r="H556" s="769" t="s">
        <v>74</v>
      </c>
      <c r="I556" s="769"/>
      <c r="J556" s="403" t="s">
        <v>60</v>
      </c>
    </row>
    <row r="557" spans="1:10" ht="22.5">
      <c r="A557" s="56" t="s">
        <v>14</v>
      </c>
      <c r="B557" s="44">
        <v>10587</v>
      </c>
      <c r="C557" s="240" t="s">
        <v>629</v>
      </c>
      <c r="D557" s="7" t="s">
        <v>253</v>
      </c>
      <c r="E557" s="825">
        <v>0.25</v>
      </c>
      <c r="F557" s="826"/>
      <c r="G557" s="827"/>
      <c r="H557" s="774">
        <v>2920.3</v>
      </c>
      <c r="I557" s="775"/>
      <c r="J557" s="242">
        <f>ROUND(H557*E557,2)</f>
        <v>730.08</v>
      </c>
    </row>
    <row r="558" spans="1:10" ht="22.5">
      <c r="A558" s="56" t="s">
        <v>14</v>
      </c>
      <c r="B558" s="44">
        <v>10585</v>
      </c>
      <c r="C558" s="240" t="s">
        <v>630</v>
      </c>
      <c r="D558" s="7" t="s">
        <v>253</v>
      </c>
      <c r="E558" s="825">
        <v>0.25</v>
      </c>
      <c r="F558" s="826"/>
      <c r="G558" s="827"/>
      <c r="H558" s="774">
        <v>3067.94</v>
      </c>
      <c r="I558" s="775"/>
      <c r="J558" s="242">
        <f>ROUND(H558*E558,2)</f>
        <v>766.99</v>
      </c>
    </row>
    <row r="559" spans="1:10" ht="15">
      <c r="A559" s="56" t="s">
        <v>14</v>
      </c>
      <c r="B559" s="44">
        <v>10859</v>
      </c>
      <c r="C559" s="240" t="s">
        <v>631</v>
      </c>
      <c r="D559" s="7" t="s">
        <v>601</v>
      </c>
      <c r="E559" s="825">
        <f>92/2</f>
        <v>46</v>
      </c>
      <c r="F559" s="826"/>
      <c r="G559" s="827"/>
      <c r="H559" s="774">
        <v>6.82</v>
      </c>
      <c r="I559" s="775"/>
      <c r="J559" s="242">
        <f>ROUND(H559*E559,2)</f>
        <v>313.72</v>
      </c>
    </row>
    <row r="560" spans="1:10" ht="15">
      <c r="A560" s="754" t="s">
        <v>75</v>
      </c>
      <c r="B560" s="755"/>
      <c r="C560" s="756"/>
      <c r="D560" s="756"/>
      <c r="E560" s="756"/>
      <c r="F560" s="756"/>
      <c r="G560" s="756"/>
      <c r="H560" s="756"/>
      <c r="I560" s="756"/>
      <c r="J560" s="45">
        <f>SUM(J557:J559)</f>
        <v>1810.7900000000002</v>
      </c>
    </row>
    <row r="561" spans="1:10" ht="15">
      <c r="A561" s="46" t="s">
        <v>51</v>
      </c>
      <c r="B561" s="47" t="s">
        <v>52</v>
      </c>
      <c r="C561" s="400" t="s">
        <v>76</v>
      </c>
      <c r="D561" s="400" t="s">
        <v>63</v>
      </c>
      <c r="E561" s="769" t="s">
        <v>73</v>
      </c>
      <c r="F561" s="769"/>
      <c r="G561" s="769"/>
      <c r="H561" s="769" t="s">
        <v>74</v>
      </c>
      <c r="I561" s="769"/>
      <c r="J561" s="403" t="s">
        <v>60</v>
      </c>
    </row>
    <row r="562" spans="1:10" ht="15">
      <c r="A562" s="56"/>
      <c r="B562" s="44"/>
      <c r="C562" s="42"/>
      <c r="D562" s="49"/>
      <c r="E562" s="836"/>
      <c r="F562" s="837"/>
      <c r="G562" s="837"/>
      <c r="H562" s="813"/>
      <c r="I562" s="813"/>
      <c r="J562" s="58"/>
    </row>
    <row r="563" spans="1:10" ht="15">
      <c r="A563" s="754" t="s">
        <v>77</v>
      </c>
      <c r="B563" s="755"/>
      <c r="C563" s="756"/>
      <c r="D563" s="756"/>
      <c r="E563" s="756"/>
      <c r="F563" s="756"/>
      <c r="G563" s="756"/>
      <c r="H563" s="756"/>
      <c r="I563" s="756"/>
      <c r="J563" s="54">
        <f>SUM(J562:J562)</f>
        <v>0</v>
      </c>
    </row>
    <row r="564" spans="1:10" ht="15">
      <c r="A564" s="46" t="s">
        <v>51</v>
      </c>
      <c r="B564" s="47" t="s">
        <v>52</v>
      </c>
      <c r="C564" s="400" t="s">
        <v>78</v>
      </c>
      <c r="D564" s="400" t="s">
        <v>63</v>
      </c>
      <c r="E564" s="769" t="s">
        <v>73</v>
      </c>
      <c r="F564" s="769"/>
      <c r="G564" s="769"/>
      <c r="H564" s="769" t="s">
        <v>74</v>
      </c>
      <c r="I564" s="769"/>
      <c r="J564" s="403" t="s">
        <v>60</v>
      </c>
    </row>
    <row r="565" spans="1:10" ht="15">
      <c r="A565" s="56"/>
      <c r="B565" s="44"/>
      <c r="C565" s="42"/>
      <c r="D565" s="49"/>
      <c r="E565" s="760"/>
      <c r="F565" s="761"/>
      <c r="G565" s="761"/>
      <c r="H565" s="762"/>
      <c r="I565" s="763"/>
      <c r="J565" s="59"/>
    </row>
    <row r="566" spans="1:10" ht="15">
      <c r="A566" s="754" t="s">
        <v>79</v>
      </c>
      <c r="B566" s="755"/>
      <c r="C566" s="756"/>
      <c r="D566" s="756"/>
      <c r="E566" s="756"/>
      <c r="F566" s="756"/>
      <c r="G566" s="756"/>
      <c r="H566" s="756"/>
      <c r="I566" s="756"/>
      <c r="J566" s="54">
        <f>SUM(J565)</f>
        <v>0</v>
      </c>
    </row>
    <row r="567" spans="1:10" ht="15">
      <c r="A567" s="764" t="s">
        <v>51</v>
      </c>
      <c r="B567" s="766" t="s">
        <v>52</v>
      </c>
      <c r="C567" s="767" t="s">
        <v>80</v>
      </c>
      <c r="D567" s="769" t="s">
        <v>81</v>
      </c>
      <c r="E567" s="769"/>
      <c r="F567" s="769" t="s">
        <v>82</v>
      </c>
      <c r="G567" s="769"/>
      <c r="H567" s="769" t="s">
        <v>74</v>
      </c>
      <c r="I567" s="769"/>
      <c r="J567" s="749" t="s">
        <v>60</v>
      </c>
    </row>
    <row r="568" spans="1:10" ht="15">
      <c r="A568" s="765"/>
      <c r="B568" s="767"/>
      <c r="C568" s="768"/>
      <c r="D568" s="402" t="s">
        <v>83</v>
      </c>
      <c r="E568" s="402" t="s">
        <v>84</v>
      </c>
      <c r="F568" s="770"/>
      <c r="G568" s="770"/>
      <c r="H568" s="770"/>
      <c r="I568" s="770"/>
      <c r="J568" s="750"/>
    </row>
    <row r="569" spans="1:10" ht="15">
      <c r="A569" s="56"/>
      <c r="B569" s="60"/>
      <c r="C569" s="61"/>
      <c r="D569" s="62"/>
      <c r="E569" s="62"/>
      <c r="F569" s="751"/>
      <c r="G569" s="752"/>
      <c r="H569" s="753"/>
      <c r="I569" s="753"/>
      <c r="J569" s="55"/>
    </row>
    <row r="570" spans="1:10" ht="15.75" thickBot="1">
      <c r="A570" s="754" t="s">
        <v>85</v>
      </c>
      <c r="B570" s="755"/>
      <c r="C570" s="756"/>
      <c r="D570" s="756"/>
      <c r="E570" s="756"/>
      <c r="F570" s="756"/>
      <c r="G570" s="756"/>
      <c r="H570" s="756"/>
      <c r="I570" s="756"/>
      <c r="J570" s="54">
        <f>SUM(J569:J569)</f>
        <v>0</v>
      </c>
    </row>
    <row r="571" spans="1:10" ht="15">
      <c r="A571" s="833" t="s">
        <v>86</v>
      </c>
      <c r="B571" s="834"/>
      <c r="C571" s="835"/>
      <c r="D571" s="835"/>
      <c r="E571" s="835"/>
      <c r="F571" s="835"/>
      <c r="G571" s="835"/>
      <c r="H571" s="835"/>
      <c r="I571" s="835"/>
      <c r="J571" s="63">
        <f>J555+J560+J563+J570+J566</f>
        <v>10724.95</v>
      </c>
    </row>
    <row r="572" spans="1:10" ht="15">
      <c r="A572" s="821" t="s">
        <v>87</v>
      </c>
      <c r="B572" s="822"/>
      <c r="C572" s="822"/>
      <c r="D572" s="822"/>
      <c r="E572" s="822"/>
      <c r="F572" s="823">
        <f>ORÇ!$F$2</f>
        <v>0.2332</v>
      </c>
      <c r="G572" s="823"/>
      <c r="H572" s="823"/>
      <c r="I572" s="824"/>
      <c r="J572" s="64">
        <f>J571*F572</f>
        <v>2501.05834</v>
      </c>
    </row>
    <row r="573" spans="1:10" ht="15.75" thickBot="1">
      <c r="A573" s="830" t="s">
        <v>88</v>
      </c>
      <c r="B573" s="831"/>
      <c r="C573" s="832"/>
      <c r="D573" s="832"/>
      <c r="E573" s="832"/>
      <c r="F573" s="832"/>
      <c r="G573" s="832"/>
      <c r="H573" s="832"/>
      <c r="I573" s="832"/>
      <c r="J573" s="81">
        <f>J571+J572</f>
        <v>13226.00834</v>
      </c>
    </row>
    <row r="574" spans="1:10" ht="15.75" thickBot="1">
      <c r="A574" s="791" t="s">
        <v>90</v>
      </c>
      <c r="B574" s="792"/>
      <c r="C574" s="792"/>
      <c r="D574" s="792"/>
      <c r="E574" s="792"/>
      <c r="F574" s="792"/>
      <c r="G574" s="88">
        <f>ORÇ!C5</f>
        <v>4</v>
      </c>
      <c r="H574" s="89" t="s">
        <v>91</v>
      </c>
      <c r="I574" s="90"/>
      <c r="J574" s="91">
        <f>J573*G574</f>
        <v>52904.03336</v>
      </c>
    </row>
    <row r="579" spans="1:10" ht="15">
      <c r="A579" s="644"/>
      <c r="B579" s="644"/>
      <c r="C579" s="644"/>
      <c r="D579" s="644"/>
      <c r="E579" s="644"/>
      <c r="F579" s="644"/>
      <c r="G579" s="644"/>
      <c r="H579" s="644"/>
      <c r="I579" s="644"/>
      <c r="J579" s="644"/>
    </row>
  </sheetData>
  <sheetProtection/>
  <mergeCells count="940">
    <mergeCell ref="J24:J25"/>
    <mergeCell ref="F26:G26"/>
    <mergeCell ref="H26:I26"/>
    <mergeCell ref="A27:I27"/>
    <mergeCell ref="A28:I28"/>
    <mergeCell ref="H10:I10"/>
    <mergeCell ref="E22:G22"/>
    <mergeCell ref="H22:I22"/>
    <mergeCell ref="A23:I23"/>
    <mergeCell ref="A24:A25"/>
    <mergeCell ref="B24:B25"/>
    <mergeCell ref="C24:C25"/>
    <mergeCell ref="D24:E24"/>
    <mergeCell ref="F24:G25"/>
    <mergeCell ref="H24:I25"/>
    <mergeCell ref="E18:G18"/>
    <mergeCell ref="H18:I18"/>
    <mergeCell ref="E19:G19"/>
    <mergeCell ref="H19:I19"/>
    <mergeCell ref="A20:I20"/>
    <mergeCell ref="E21:G21"/>
    <mergeCell ref="H21:I21"/>
    <mergeCell ref="A14:I14"/>
    <mergeCell ref="E15:G15"/>
    <mergeCell ref="H15:I15"/>
    <mergeCell ref="E16:G16"/>
    <mergeCell ref="H16:I16"/>
    <mergeCell ref="A17:I17"/>
    <mergeCell ref="A7:I7"/>
    <mergeCell ref="H8:I8"/>
    <mergeCell ref="H9:I9"/>
    <mergeCell ref="A11:I11"/>
    <mergeCell ref="A12:H12"/>
    <mergeCell ref="A13:I13"/>
    <mergeCell ref="C1:J1"/>
    <mergeCell ref="A2:B2"/>
    <mergeCell ref="D2:E2"/>
    <mergeCell ref="I2:J2"/>
    <mergeCell ref="A3:A4"/>
    <mergeCell ref="B3:B4"/>
    <mergeCell ref="C3:C4"/>
    <mergeCell ref="D3:D4"/>
    <mergeCell ref="E3:G3"/>
    <mergeCell ref="H3:J3"/>
    <mergeCell ref="J109:J110"/>
    <mergeCell ref="F111:G111"/>
    <mergeCell ref="H111:I111"/>
    <mergeCell ref="A112:I112"/>
    <mergeCell ref="A113:I113"/>
    <mergeCell ref="E107:G107"/>
    <mergeCell ref="H107:I107"/>
    <mergeCell ref="A108:I108"/>
    <mergeCell ref="A109:A110"/>
    <mergeCell ref="B109:B110"/>
    <mergeCell ref="C109:C110"/>
    <mergeCell ref="D109:E109"/>
    <mergeCell ref="F109:G110"/>
    <mergeCell ref="H109:I110"/>
    <mergeCell ref="E103:G103"/>
    <mergeCell ref="H103:I103"/>
    <mergeCell ref="E104:G104"/>
    <mergeCell ref="H104:I104"/>
    <mergeCell ref="A105:I105"/>
    <mergeCell ref="E106:G106"/>
    <mergeCell ref="H106:I106"/>
    <mergeCell ref="A99:I99"/>
    <mergeCell ref="E100:G100"/>
    <mergeCell ref="H100:I100"/>
    <mergeCell ref="E101:G101"/>
    <mergeCell ref="H101:I101"/>
    <mergeCell ref="E102:G102"/>
    <mergeCell ref="H102:I102"/>
    <mergeCell ref="A95:I95"/>
    <mergeCell ref="A96:I96"/>
    <mergeCell ref="E97:G97"/>
    <mergeCell ref="H97:I97"/>
    <mergeCell ref="E98:G98"/>
    <mergeCell ref="H98:I98"/>
    <mergeCell ref="A89:I89"/>
    <mergeCell ref="H90:I90"/>
    <mergeCell ref="H91:I91"/>
    <mergeCell ref="H92:I92"/>
    <mergeCell ref="A93:I93"/>
    <mergeCell ref="A94:H94"/>
    <mergeCell ref="C84:J84"/>
    <mergeCell ref="A85:B85"/>
    <mergeCell ref="D85:E85"/>
    <mergeCell ref="I85:J85"/>
    <mergeCell ref="A86:A87"/>
    <mergeCell ref="B86:B87"/>
    <mergeCell ref="C86:C87"/>
    <mergeCell ref="D86:D87"/>
    <mergeCell ref="E86:G86"/>
    <mergeCell ref="H86:J86"/>
    <mergeCell ref="C142:J142"/>
    <mergeCell ref="A143:B143"/>
    <mergeCell ref="D143:E143"/>
    <mergeCell ref="I143:J143"/>
    <mergeCell ref="E158:G158"/>
    <mergeCell ref="H158:I158"/>
    <mergeCell ref="E157:G157"/>
    <mergeCell ref="H157:I157"/>
    <mergeCell ref="A156:I156"/>
    <mergeCell ref="H150:I150"/>
    <mergeCell ref="A144:A145"/>
    <mergeCell ref="B144:B145"/>
    <mergeCell ref="C144:C145"/>
    <mergeCell ref="D144:D145"/>
    <mergeCell ref="E144:G144"/>
    <mergeCell ref="H144:J144"/>
    <mergeCell ref="J166:J167"/>
    <mergeCell ref="F168:G168"/>
    <mergeCell ref="H168:I168"/>
    <mergeCell ref="A169:I169"/>
    <mergeCell ref="A170:I170"/>
    <mergeCell ref="A153:I153"/>
    <mergeCell ref="E161:G161"/>
    <mergeCell ref="A166:A167"/>
    <mergeCell ref="B166:B167"/>
    <mergeCell ref="C166:C167"/>
    <mergeCell ref="D166:E166"/>
    <mergeCell ref="F166:G167"/>
    <mergeCell ref="H166:I167"/>
    <mergeCell ref="A155:I155"/>
    <mergeCell ref="E163:G163"/>
    <mergeCell ref="H163:I163"/>
    <mergeCell ref="E164:G164"/>
    <mergeCell ref="H164:I164"/>
    <mergeCell ref="A165:I165"/>
    <mergeCell ref="A162:I162"/>
    <mergeCell ref="J50:J51"/>
    <mergeCell ref="F52:G52"/>
    <mergeCell ref="H52:I52"/>
    <mergeCell ref="A53:I53"/>
    <mergeCell ref="A54:I54"/>
    <mergeCell ref="A159:I159"/>
    <mergeCell ref="A149:I149"/>
    <mergeCell ref="H151:I151"/>
    <mergeCell ref="H152:I152"/>
    <mergeCell ref="A154:H154"/>
    <mergeCell ref="A50:A51"/>
    <mergeCell ref="B50:B51"/>
    <mergeCell ref="C50:C51"/>
    <mergeCell ref="D50:E50"/>
    <mergeCell ref="F50:G51"/>
    <mergeCell ref="H50:I51"/>
    <mergeCell ref="A46:I46"/>
    <mergeCell ref="E47:G47"/>
    <mergeCell ref="H47:I47"/>
    <mergeCell ref="E48:G48"/>
    <mergeCell ref="H48:I48"/>
    <mergeCell ref="A49:I49"/>
    <mergeCell ref="E42:G42"/>
    <mergeCell ref="H42:I42"/>
    <mergeCell ref="A43:I43"/>
    <mergeCell ref="E44:G44"/>
    <mergeCell ref="H44:I44"/>
    <mergeCell ref="E45:G45"/>
    <mergeCell ref="H45:I45"/>
    <mergeCell ref="H36:I36"/>
    <mergeCell ref="A37:I37"/>
    <mergeCell ref="A38:H38"/>
    <mergeCell ref="A39:I39"/>
    <mergeCell ref="A40:I40"/>
    <mergeCell ref="E41:G41"/>
    <mergeCell ref="H41:I41"/>
    <mergeCell ref="C31:C32"/>
    <mergeCell ref="D31:D32"/>
    <mergeCell ref="E31:G31"/>
    <mergeCell ref="H31:J31"/>
    <mergeCell ref="A34:I34"/>
    <mergeCell ref="H35:I35"/>
    <mergeCell ref="B79:B80"/>
    <mergeCell ref="C79:C80"/>
    <mergeCell ref="E160:G160"/>
    <mergeCell ref="H160:I160"/>
    <mergeCell ref="C29:J29"/>
    <mergeCell ref="A30:B30"/>
    <mergeCell ref="D30:E30"/>
    <mergeCell ref="I30:J30"/>
    <mergeCell ref="A31:A32"/>
    <mergeCell ref="B31:B32"/>
    <mergeCell ref="H161:I161"/>
    <mergeCell ref="E77:G77"/>
    <mergeCell ref="H77:I77"/>
    <mergeCell ref="A78:I78"/>
    <mergeCell ref="J79:J80"/>
    <mergeCell ref="F81:G81"/>
    <mergeCell ref="H81:I81"/>
    <mergeCell ref="A82:I82"/>
    <mergeCell ref="A83:I83"/>
    <mergeCell ref="A79:A80"/>
    <mergeCell ref="E73:G73"/>
    <mergeCell ref="H73:I73"/>
    <mergeCell ref="E74:G74"/>
    <mergeCell ref="H74:I74"/>
    <mergeCell ref="D79:E79"/>
    <mergeCell ref="F79:G80"/>
    <mergeCell ref="H79:I80"/>
    <mergeCell ref="A75:I75"/>
    <mergeCell ref="E76:G76"/>
    <mergeCell ref="H76:I76"/>
    <mergeCell ref="E69:G69"/>
    <mergeCell ref="H69:I69"/>
    <mergeCell ref="E70:G70"/>
    <mergeCell ref="H70:I70"/>
    <mergeCell ref="A71:I71"/>
    <mergeCell ref="E72:G72"/>
    <mergeCell ref="H72:I72"/>
    <mergeCell ref="H63:I63"/>
    <mergeCell ref="H64:I64"/>
    <mergeCell ref="A65:I65"/>
    <mergeCell ref="A66:H66"/>
    <mergeCell ref="A67:I67"/>
    <mergeCell ref="A68:I68"/>
    <mergeCell ref="C55:J55"/>
    <mergeCell ref="A56:B56"/>
    <mergeCell ref="D56:E56"/>
    <mergeCell ref="I56:J56"/>
    <mergeCell ref="D57:D58"/>
    <mergeCell ref="E57:G57"/>
    <mergeCell ref="H57:J57"/>
    <mergeCell ref="A57:A58"/>
    <mergeCell ref="B57:B58"/>
    <mergeCell ref="C57:C58"/>
    <mergeCell ref="A60:I60"/>
    <mergeCell ref="H61:I61"/>
    <mergeCell ref="H62:I62"/>
    <mergeCell ref="J567:J568"/>
    <mergeCell ref="F569:G569"/>
    <mergeCell ref="H569:I569"/>
    <mergeCell ref="E562:G562"/>
    <mergeCell ref="H562:I562"/>
    <mergeCell ref="E558:G558"/>
    <mergeCell ref="A563:I563"/>
    <mergeCell ref="A570:I570"/>
    <mergeCell ref="A571:I571"/>
    <mergeCell ref="A567:A568"/>
    <mergeCell ref="B567:B568"/>
    <mergeCell ref="C567:C568"/>
    <mergeCell ref="D567:E567"/>
    <mergeCell ref="F567:G568"/>
    <mergeCell ref="H567:I568"/>
    <mergeCell ref="E564:G564"/>
    <mergeCell ref="H564:I564"/>
    <mergeCell ref="E565:G565"/>
    <mergeCell ref="H565:I565"/>
    <mergeCell ref="A566:I566"/>
    <mergeCell ref="E556:G556"/>
    <mergeCell ref="H556:I556"/>
    <mergeCell ref="H557:I557"/>
    <mergeCell ref="A560:I560"/>
    <mergeCell ref="E561:G561"/>
    <mergeCell ref="A573:I573"/>
    <mergeCell ref="A574:F574"/>
    <mergeCell ref="H550:I550"/>
    <mergeCell ref="H551:I551"/>
    <mergeCell ref="A552:I552"/>
    <mergeCell ref="A553:H553"/>
    <mergeCell ref="A554:I554"/>
    <mergeCell ref="A555:I555"/>
    <mergeCell ref="E557:G557"/>
    <mergeCell ref="H561:I561"/>
    <mergeCell ref="C540:J540"/>
    <mergeCell ref="A541:B541"/>
    <mergeCell ref="D541:E541"/>
    <mergeCell ref="I541:J541"/>
    <mergeCell ref="A542:A543"/>
    <mergeCell ref="B542:B543"/>
    <mergeCell ref="C542:C543"/>
    <mergeCell ref="D542:D543"/>
    <mergeCell ref="A545:I545"/>
    <mergeCell ref="H546:I546"/>
    <mergeCell ref="E559:G559"/>
    <mergeCell ref="H559:I559"/>
    <mergeCell ref="H558:I558"/>
    <mergeCell ref="H547:I547"/>
    <mergeCell ref="H548:I548"/>
    <mergeCell ref="H549:I549"/>
    <mergeCell ref="C114:J114"/>
    <mergeCell ref="A115:B115"/>
    <mergeCell ref="D115:E115"/>
    <mergeCell ref="I115:J115"/>
    <mergeCell ref="A116:A117"/>
    <mergeCell ref="B116:B117"/>
    <mergeCell ref="C116:C117"/>
    <mergeCell ref="D116:D117"/>
    <mergeCell ref="E116:G116"/>
    <mergeCell ref="H116:J116"/>
    <mergeCell ref="A120:I120"/>
    <mergeCell ref="H121:I121"/>
    <mergeCell ref="H122:I122"/>
    <mergeCell ref="H123:I123"/>
    <mergeCell ref="A124:I124"/>
    <mergeCell ref="A125:H125"/>
    <mergeCell ref="A126:I126"/>
    <mergeCell ref="A127:I127"/>
    <mergeCell ref="E128:G128"/>
    <mergeCell ref="H128:I128"/>
    <mergeCell ref="E129:G129"/>
    <mergeCell ref="H129:I129"/>
    <mergeCell ref="A130:I130"/>
    <mergeCell ref="E131:G131"/>
    <mergeCell ref="H131:I131"/>
    <mergeCell ref="E132:G132"/>
    <mergeCell ref="H132:I132"/>
    <mergeCell ref="A133:I133"/>
    <mergeCell ref="E134:G134"/>
    <mergeCell ref="H134:I134"/>
    <mergeCell ref="E135:G135"/>
    <mergeCell ref="H135:I135"/>
    <mergeCell ref="A136:I136"/>
    <mergeCell ref="A137:A138"/>
    <mergeCell ref="B137:B138"/>
    <mergeCell ref="C137:C138"/>
    <mergeCell ref="D137:E137"/>
    <mergeCell ref="F137:G138"/>
    <mergeCell ref="H137:I138"/>
    <mergeCell ref="J137:J138"/>
    <mergeCell ref="F139:G139"/>
    <mergeCell ref="H139:I139"/>
    <mergeCell ref="A140:I140"/>
    <mergeCell ref="A141:I141"/>
    <mergeCell ref="C171:J171"/>
    <mergeCell ref="A172:B172"/>
    <mergeCell ref="D172:E172"/>
    <mergeCell ref="I172:J172"/>
    <mergeCell ref="A173:A174"/>
    <mergeCell ref="B173:B174"/>
    <mergeCell ref="C173:C174"/>
    <mergeCell ref="D173:D174"/>
    <mergeCell ref="E173:G173"/>
    <mergeCell ref="H173:J173"/>
    <mergeCell ref="A179:I179"/>
    <mergeCell ref="H180:I180"/>
    <mergeCell ref="H181:I181"/>
    <mergeCell ref="H182:I182"/>
    <mergeCell ref="H183:I183"/>
    <mergeCell ref="H184:I184"/>
    <mergeCell ref="H185:I185"/>
    <mergeCell ref="A186:I186"/>
    <mergeCell ref="A187:H187"/>
    <mergeCell ref="A188:I188"/>
    <mergeCell ref="A189:I189"/>
    <mergeCell ref="E190:G190"/>
    <mergeCell ref="H190:I190"/>
    <mergeCell ref="E191:G191"/>
    <mergeCell ref="H191:I191"/>
    <mergeCell ref="E192:G192"/>
    <mergeCell ref="H192:I192"/>
    <mergeCell ref="E193:G193"/>
    <mergeCell ref="H193:I193"/>
    <mergeCell ref="E194:G194"/>
    <mergeCell ref="H194:I194"/>
    <mergeCell ref="E195:G195"/>
    <mergeCell ref="H195:I195"/>
    <mergeCell ref="E196:G196"/>
    <mergeCell ref="H196:I196"/>
    <mergeCell ref="E197:G197"/>
    <mergeCell ref="H197:I197"/>
    <mergeCell ref="E198:G198"/>
    <mergeCell ref="H198:I198"/>
    <mergeCell ref="E199:G199"/>
    <mergeCell ref="H199:I199"/>
    <mergeCell ref="E200:G200"/>
    <mergeCell ref="H200:I200"/>
    <mergeCell ref="E201:G201"/>
    <mergeCell ref="H201:I201"/>
    <mergeCell ref="E202:G202"/>
    <mergeCell ref="H202:I202"/>
    <mergeCell ref="E203:G203"/>
    <mergeCell ref="H203:I203"/>
    <mergeCell ref="E204:G204"/>
    <mergeCell ref="H204:I204"/>
    <mergeCell ref="E205:G205"/>
    <mergeCell ref="H205:I205"/>
    <mergeCell ref="E206:G206"/>
    <mergeCell ref="H206:I206"/>
    <mergeCell ref="E207:G207"/>
    <mergeCell ref="H207:I207"/>
    <mergeCell ref="E208:G208"/>
    <mergeCell ref="H208:I208"/>
    <mergeCell ref="E209:G209"/>
    <mergeCell ref="H209:I209"/>
    <mergeCell ref="E210:G210"/>
    <mergeCell ref="H210:I210"/>
    <mergeCell ref="E211:G211"/>
    <mergeCell ref="H211:I211"/>
    <mergeCell ref="E212:G212"/>
    <mergeCell ref="H212:I212"/>
    <mergeCell ref="E213:G213"/>
    <mergeCell ref="H213:I213"/>
    <mergeCell ref="E214:G214"/>
    <mergeCell ref="H214:I214"/>
    <mergeCell ref="E215:G215"/>
    <mergeCell ref="H215:I215"/>
    <mergeCell ref="E216:G216"/>
    <mergeCell ref="H216:I216"/>
    <mergeCell ref="E217:G217"/>
    <mergeCell ref="H217:I217"/>
    <mergeCell ref="E218:G218"/>
    <mergeCell ref="H218:I218"/>
    <mergeCell ref="E219:G219"/>
    <mergeCell ref="H219:I219"/>
    <mergeCell ref="A220:I220"/>
    <mergeCell ref="E221:G221"/>
    <mergeCell ref="H221:I221"/>
    <mergeCell ref="F227:G228"/>
    <mergeCell ref="H227:I228"/>
    <mergeCell ref="E222:G222"/>
    <mergeCell ref="H222:I222"/>
    <mergeCell ref="A223:I223"/>
    <mergeCell ref="E224:G224"/>
    <mergeCell ref="H224:I224"/>
    <mergeCell ref="E225:G225"/>
    <mergeCell ref="H225:I225"/>
    <mergeCell ref="J227:J228"/>
    <mergeCell ref="F229:G229"/>
    <mergeCell ref="H229:I229"/>
    <mergeCell ref="A230:I230"/>
    <mergeCell ref="A231:I231"/>
    <mergeCell ref="A226:I226"/>
    <mergeCell ref="A227:A228"/>
    <mergeCell ref="B227:B228"/>
    <mergeCell ref="C227:C228"/>
    <mergeCell ref="D227:E227"/>
    <mergeCell ref="C232:J232"/>
    <mergeCell ref="A233:B233"/>
    <mergeCell ref="D233:E233"/>
    <mergeCell ref="I233:J233"/>
    <mergeCell ref="A234:A235"/>
    <mergeCell ref="B234:B235"/>
    <mergeCell ref="C234:C235"/>
    <mergeCell ref="D234:D235"/>
    <mergeCell ref="E234:G234"/>
    <mergeCell ref="H234:J234"/>
    <mergeCell ref="A238:I238"/>
    <mergeCell ref="H239:I239"/>
    <mergeCell ref="H240:I240"/>
    <mergeCell ref="H241:I241"/>
    <mergeCell ref="H242:I242"/>
    <mergeCell ref="H243:I243"/>
    <mergeCell ref="A244:I244"/>
    <mergeCell ref="A245:H245"/>
    <mergeCell ref="A246:I246"/>
    <mergeCell ref="A247:I247"/>
    <mergeCell ref="E248:G248"/>
    <mergeCell ref="H248:I248"/>
    <mergeCell ref="E249:G249"/>
    <mergeCell ref="H249:I249"/>
    <mergeCell ref="E250:G250"/>
    <mergeCell ref="H250:I250"/>
    <mergeCell ref="E251:G251"/>
    <mergeCell ref="H251:I251"/>
    <mergeCell ref="E252:G252"/>
    <mergeCell ref="H252:I252"/>
    <mergeCell ref="E253:G253"/>
    <mergeCell ref="H253:I253"/>
    <mergeCell ref="E254:G254"/>
    <mergeCell ref="H254:I254"/>
    <mergeCell ref="E255:G255"/>
    <mergeCell ref="H255:I255"/>
    <mergeCell ref="E256:G256"/>
    <mergeCell ref="H256:I256"/>
    <mergeCell ref="E257:G257"/>
    <mergeCell ref="H257:I257"/>
    <mergeCell ref="H265:I265"/>
    <mergeCell ref="E258:G258"/>
    <mergeCell ref="H258:I258"/>
    <mergeCell ref="E259:G259"/>
    <mergeCell ref="H259:I259"/>
    <mergeCell ref="A260:I260"/>
    <mergeCell ref="E261:G261"/>
    <mergeCell ref="H261:I261"/>
    <mergeCell ref="C268:C269"/>
    <mergeCell ref="D268:E268"/>
    <mergeCell ref="F268:G269"/>
    <mergeCell ref="H268:I269"/>
    <mergeCell ref="E262:G262"/>
    <mergeCell ref="H262:I262"/>
    <mergeCell ref="E263:G263"/>
    <mergeCell ref="H263:I263"/>
    <mergeCell ref="A264:I264"/>
    <mergeCell ref="E265:G265"/>
    <mergeCell ref="J268:J269"/>
    <mergeCell ref="F270:G270"/>
    <mergeCell ref="H270:I270"/>
    <mergeCell ref="A271:I271"/>
    <mergeCell ref="A272:I272"/>
    <mergeCell ref="E266:G266"/>
    <mergeCell ref="H266:I266"/>
    <mergeCell ref="A267:I267"/>
    <mergeCell ref="A268:A269"/>
    <mergeCell ref="B268:B269"/>
    <mergeCell ref="C273:J273"/>
    <mergeCell ref="A274:B274"/>
    <mergeCell ref="D274:E274"/>
    <mergeCell ref="I274:J274"/>
    <mergeCell ref="A275:A276"/>
    <mergeCell ref="B275:B276"/>
    <mergeCell ref="C275:C276"/>
    <mergeCell ref="D275:D276"/>
    <mergeCell ref="E275:G275"/>
    <mergeCell ref="H275:J275"/>
    <mergeCell ref="A278:I278"/>
    <mergeCell ref="H279:I279"/>
    <mergeCell ref="H280:I280"/>
    <mergeCell ref="A281:I281"/>
    <mergeCell ref="A282:H282"/>
    <mergeCell ref="A283:I283"/>
    <mergeCell ref="A284:I284"/>
    <mergeCell ref="E285:G285"/>
    <mergeCell ref="H285:I285"/>
    <mergeCell ref="E286:G286"/>
    <mergeCell ref="H286:I286"/>
    <mergeCell ref="E287:G287"/>
    <mergeCell ref="H287:I287"/>
    <mergeCell ref="E288:G288"/>
    <mergeCell ref="H288:I288"/>
    <mergeCell ref="E289:G289"/>
    <mergeCell ref="H289:I289"/>
    <mergeCell ref="E290:G290"/>
    <mergeCell ref="H290:I290"/>
    <mergeCell ref="A291:I291"/>
    <mergeCell ref="E292:G292"/>
    <mergeCell ref="H292:I292"/>
    <mergeCell ref="E293:G293"/>
    <mergeCell ref="H293:I293"/>
    <mergeCell ref="H298:I299"/>
    <mergeCell ref="A294:I294"/>
    <mergeCell ref="E295:G295"/>
    <mergeCell ref="H295:I295"/>
    <mergeCell ref="E296:G296"/>
    <mergeCell ref="H296:I296"/>
    <mergeCell ref="A297:I297"/>
    <mergeCell ref="J298:J299"/>
    <mergeCell ref="F300:G300"/>
    <mergeCell ref="H300:I300"/>
    <mergeCell ref="A301:I301"/>
    <mergeCell ref="A302:I302"/>
    <mergeCell ref="A298:A299"/>
    <mergeCell ref="B298:B299"/>
    <mergeCell ref="C298:C299"/>
    <mergeCell ref="D298:E298"/>
    <mergeCell ref="F298:G299"/>
    <mergeCell ref="C303:J303"/>
    <mergeCell ref="A304:B304"/>
    <mergeCell ref="D304:E304"/>
    <mergeCell ref="I304:J304"/>
    <mergeCell ref="A305:A306"/>
    <mergeCell ref="B305:B306"/>
    <mergeCell ref="C305:C306"/>
    <mergeCell ref="D305:D306"/>
    <mergeCell ref="E305:G305"/>
    <mergeCell ref="H305:J305"/>
    <mergeCell ref="A308:I308"/>
    <mergeCell ref="H309:I309"/>
    <mergeCell ref="H310:I310"/>
    <mergeCell ref="H311:I311"/>
    <mergeCell ref="A312:I312"/>
    <mergeCell ref="A313:H313"/>
    <mergeCell ref="A314:I314"/>
    <mergeCell ref="A315:I315"/>
    <mergeCell ref="E316:G316"/>
    <mergeCell ref="H316:I316"/>
    <mergeCell ref="E317:G317"/>
    <mergeCell ref="H317:I317"/>
    <mergeCell ref="A318:I318"/>
    <mergeCell ref="E319:G319"/>
    <mergeCell ref="H319:I319"/>
    <mergeCell ref="E320:G320"/>
    <mergeCell ref="H320:I320"/>
    <mergeCell ref="A321:I321"/>
    <mergeCell ref="E322:G322"/>
    <mergeCell ref="H322:I322"/>
    <mergeCell ref="E323:G323"/>
    <mergeCell ref="H323:I323"/>
    <mergeCell ref="A324:I324"/>
    <mergeCell ref="A325:A326"/>
    <mergeCell ref="B325:B326"/>
    <mergeCell ref="C325:C326"/>
    <mergeCell ref="D325:E325"/>
    <mergeCell ref="F325:G326"/>
    <mergeCell ref="C330:J330"/>
    <mergeCell ref="A331:B331"/>
    <mergeCell ref="D331:E331"/>
    <mergeCell ref="I331:J331"/>
    <mergeCell ref="H325:I326"/>
    <mergeCell ref="J325:J326"/>
    <mergeCell ref="F327:G327"/>
    <mergeCell ref="H327:I327"/>
    <mergeCell ref="A328:I328"/>
    <mergeCell ref="A329:I329"/>
    <mergeCell ref="A332:A333"/>
    <mergeCell ref="B332:B333"/>
    <mergeCell ref="C332:C333"/>
    <mergeCell ref="D332:D333"/>
    <mergeCell ref="E332:G332"/>
    <mergeCell ref="H332:J332"/>
    <mergeCell ref="A335:I335"/>
    <mergeCell ref="H336:I336"/>
    <mergeCell ref="H337:I337"/>
    <mergeCell ref="H338:I338"/>
    <mergeCell ref="A339:I339"/>
    <mergeCell ref="A340:H340"/>
    <mergeCell ref="A341:I341"/>
    <mergeCell ref="A342:I342"/>
    <mergeCell ref="E343:G343"/>
    <mergeCell ref="H343:I343"/>
    <mergeCell ref="E344:G344"/>
    <mergeCell ref="H344:I344"/>
    <mergeCell ref="A345:I345"/>
    <mergeCell ref="E346:G346"/>
    <mergeCell ref="H346:I346"/>
    <mergeCell ref="E347:G347"/>
    <mergeCell ref="H347:I347"/>
    <mergeCell ref="A348:I348"/>
    <mergeCell ref="E349:G349"/>
    <mergeCell ref="H349:I349"/>
    <mergeCell ref="E350:G350"/>
    <mergeCell ref="H350:I350"/>
    <mergeCell ref="A351:I351"/>
    <mergeCell ref="A352:A353"/>
    <mergeCell ref="B352:B353"/>
    <mergeCell ref="C352:C353"/>
    <mergeCell ref="D352:E352"/>
    <mergeCell ref="F352:G353"/>
    <mergeCell ref="C357:J357"/>
    <mergeCell ref="A358:B358"/>
    <mergeCell ref="D358:E358"/>
    <mergeCell ref="I358:J358"/>
    <mergeCell ref="H352:I353"/>
    <mergeCell ref="J352:J353"/>
    <mergeCell ref="F354:G354"/>
    <mergeCell ref="H354:I354"/>
    <mergeCell ref="A355:I355"/>
    <mergeCell ref="A356:I356"/>
    <mergeCell ref="A359:A360"/>
    <mergeCell ref="B359:B360"/>
    <mergeCell ref="C359:C360"/>
    <mergeCell ref="D359:D360"/>
    <mergeCell ref="E359:G359"/>
    <mergeCell ref="H359:J359"/>
    <mergeCell ref="A362:I362"/>
    <mergeCell ref="H363:I363"/>
    <mergeCell ref="H364:I364"/>
    <mergeCell ref="H365:I365"/>
    <mergeCell ref="A366:I366"/>
    <mergeCell ref="A367:H367"/>
    <mergeCell ref="A368:I368"/>
    <mergeCell ref="A369:I369"/>
    <mergeCell ref="E370:G370"/>
    <mergeCell ref="H370:I370"/>
    <mergeCell ref="E371:G371"/>
    <mergeCell ref="H371:I371"/>
    <mergeCell ref="A372:I372"/>
    <mergeCell ref="E373:G373"/>
    <mergeCell ref="H373:I373"/>
    <mergeCell ref="E374:G374"/>
    <mergeCell ref="H374:I374"/>
    <mergeCell ref="A375:I375"/>
    <mergeCell ref="E376:G376"/>
    <mergeCell ref="H376:I376"/>
    <mergeCell ref="E377:G377"/>
    <mergeCell ref="H377:I377"/>
    <mergeCell ref="A378:I378"/>
    <mergeCell ref="A379:A380"/>
    <mergeCell ref="B379:B380"/>
    <mergeCell ref="C379:C380"/>
    <mergeCell ref="D379:E379"/>
    <mergeCell ref="F379:G380"/>
    <mergeCell ref="C384:J384"/>
    <mergeCell ref="A385:B385"/>
    <mergeCell ref="D385:E385"/>
    <mergeCell ref="I385:J385"/>
    <mergeCell ref="H379:I380"/>
    <mergeCell ref="J379:J380"/>
    <mergeCell ref="F381:G381"/>
    <mergeCell ref="H381:I381"/>
    <mergeCell ref="A382:I382"/>
    <mergeCell ref="A383:I383"/>
    <mergeCell ref="A386:A387"/>
    <mergeCell ref="B386:B387"/>
    <mergeCell ref="C386:C387"/>
    <mergeCell ref="D386:D387"/>
    <mergeCell ref="E386:G386"/>
    <mergeCell ref="H386:J386"/>
    <mergeCell ref="A389:I389"/>
    <mergeCell ref="H390:I390"/>
    <mergeCell ref="H391:I391"/>
    <mergeCell ref="A392:I392"/>
    <mergeCell ref="A393:H393"/>
    <mergeCell ref="A394:I394"/>
    <mergeCell ref="H402:I402"/>
    <mergeCell ref="A395:I395"/>
    <mergeCell ref="E396:G396"/>
    <mergeCell ref="H396:I396"/>
    <mergeCell ref="E397:G397"/>
    <mergeCell ref="H397:I397"/>
    <mergeCell ref="A398:I398"/>
    <mergeCell ref="C405:C406"/>
    <mergeCell ref="D405:E405"/>
    <mergeCell ref="F405:G406"/>
    <mergeCell ref="H405:I406"/>
    <mergeCell ref="E399:G399"/>
    <mergeCell ref="H399:I399"/>
    <mergeCell ref="E400:G400"/>
    <mergeCell ref="H400:I400"/>
    <mergeCell ref="A401:I401"/>
    <mergeCell ref="E402:G402"/>
    <mergeCell ref="J405:J406"/>
    <mergeCell ref="F407:G407"/>
    <mergeCell ref="H407:I407"/>
    <mergeCell ref="A408:I408"/>
    <mergeCell ref="A409:I409"/>
    <mergeCell ref="E403:G403"/>
    <mergeCell ref="H403:I403"/>
    <mergeCell ref="A404:I404"/>
    <mergeCell ref="A405:A406"/>
    <mergeCell ref="B405:B406"/>
    <mergeCell ref="C410:J410"/>
    <mergeCell ref="A411:B411"/>
    <mergeCell ref="D411:E411"/>
    <mergeCell ref="I411:J411"/>
    <mergeCell ref="A412:A413"/>
    <mergeCell ref="B412:B413"/>
    <mergeCell ref="C412:C413"/>
    <mergeCell ref="D412:D413"/>
    <mergeCell ref="E412:G412"/>
    <mergeCell ref="H412:J412"/>
    <mergeCell ref="A415:I415"/>
    <mergeCell ref="H416:I416"/>
    <mergeCell ref="H417:I417"/>
    <mergeCell ref="A418:I418"/>
    <mergeCell ref="A419:H419"/>
    <mergeCell ref="A420:I420"/>
    <mergeCell ref="A421:I421"/>
    <mergeCell ref="E422:G422"/>
    <mergeCell ref="H422:I422"/>
    <mergeCell ref="E423:G423"/>
    <mergeCell ref="H423:I423"/>
    <mergeCell ref="A424:I424"/>
    <mergeCell ref="E425:G425"/>
    <mergeCell ref="H425:I425"/>
    <mergeCell ref="E426:G426"/>
    <mergeCell ref="H426:I426"/>
    <mergeCell ref="A427:I427"/>
    <mergeCell ref="E428:G428"/>
    <mergeCell ref="H428:I428"/>
    <mergeCell ref="E429:G429"/>
    <mergeCell ref="H429:I429"/>
    <mergeCell ref="A430:I430"/>
    <mergeCell ref="A431:A432"/>
    <mergeCell ref="B431:B432"/>
    <mergeCell ref="C431:C432"/>
    <mergeCell ref="D431:E431"/>
    <mergeCell ref="F431:G432"/>
    <mergeCell ref="C436:J436"/>
    <mergeCell ref="A437:B437"/>
    <mergeCell ref="D437:E437"/>
    <mergeCell ref="I437:J437"/>
    <mergeCell ref="H431:I432"/>
    <mergeCell ref="J431:J432"/>
    <mergeCell ref="F433:G433"/>
    <mergeCell ref="H433:I433"/>
    <mergeCell ref="A434:I434"/>
    <mergeCell ref="A435:I435"/>
    <mergeCell ref="A438:A439"/>
    <mergeCell ref="B438:B439"/>
    <mergeCell ref="C438:C439"/>
    <mergeCell ref="D438:D439"/>
    <mergeCell ref="E438:G438"/>
    <mergeCell ref="H438:J438"/>
    <mergeCell ref="A441:I441"/>
    <mergeCell ref="H442:I442"/>
    <mergeCell ref="H443:I443"/>
    <mergeCell ref="A444:I444"/>
    <mergeCell ref="A445:H445"/>
    <mergeCell ref="A446:I446"/>
    <mergeCell ref="H454:I454"/>
    <mergeCell ref="A447:I447"/>
    <mergeCell ref="E448:G448"/>
    <mergeCell ref="H448:I448"/>
    <mergeCell ref="E449:G449"/>
    <mergeCell ref="H449:I449"/>
    <mergeCell ref="A450:I450"/>
    <mergeCell ref="C457:C458"/>
    <mergeCell ref="D457:E457"/>
    <mergeCell ref="F457:G458"/>
    <mergeCell ref="H457:I458"/>
    <mergeCell ref="E451:G451"/>
    <mergeCell ref="H451:I451"/>
    <mergeCell ref="E452:G452"/>
    <mergeCell ref="H452:I452"/>
    <mergeCell ref="A453:I453"/>
    <mergeCell ref="E454:G454"/>
    <mergeCell ref="J457:J458"/>
    <mergeCell ref="F459:G459"/>
    <mergeCell ref="H459:I459"/>
    <mergeCell ref="A460:I460"/>
    <mergeCell ref="A461:I461"/>
    <mergeCell ref="E455:G455"/>
    <mergeCell ref="H455:I455"/>
    <mergeCell ref="A456:I456"/>
    <mergeCell ref="A457:A458"/>
    <mergeCell ref="B457:B458"/>
    <mergeCell ref="C462:J462"/>
    <mergeCell ref="A463:B463"/>
    <mergeCell ref="D463:E463"/>
    <mergeCell ref="I463:J463"/>
    <mergeCell ref="A464:A465"/>
    <mergeCell ref="B464:B465"/>
    <mergeCell ref="C464:C465"/>
    <mergeCell ref="D464:D465"/>
    <mergeCell ref="E464:G464"/>
    <mergeCell ref="H464:J464"/>
    <mergeCell ref="A467:I467"/>
    <mergeCell ref="H468:I468"/>
    <mergeCell ref="H469:I469"/>
    <mergeCell ref="A470:I470"/>
    <mergeCell ref="A471:H471"/>
    <mergeCell ref="A472:I472"/>
    <mergeCell ref="A473:I473"/>
    <mergeCell ref="E474:G474"/>
    <mergeCell ref="H474:I474"/>
    <mergeCell ref="E475:G475"/>
    <mergeCell ref="H475:I475"/>
    <mergeCell ref="A476:I476"/>
    <mergeCell ref="E477:G477"/>
    <mergeCell ref="H477:I477"/>
    <mergeCell ref="E478:G478"/>
    <mergeCell ref="H478:I478"/>
    <mergeCell ref="A479:I479"/>
    <mergeCell ref="E480:G480"/>
    <mergeCell ref="H480:I480"/>
    <mergeCell ref="E481:G481"/>
    <mergeCell ref="H481:I481"/>
    <mergeCell ref="A482:I482"/>
    <mergeCell ref="A483:A484"/>
    <mergeCell ref="B483:B484"/>
    <mergeCell ref="C483:C484"/>
    <mergeCell ref="D483:E483"/>
    <mergeCell ref="F483:G484"/>
    <mergeCell ref="C488:J488"/>
    <mergeCell ref="A489:B489"/>
    <mergeCell ref="D489:E489"/>
    <mergeCell ref="I489:J489"/>
    <mergeCell ref="H483:I484"/>
    <mergeCell ref="J483:J484"/>
    <mergeCell ref="F485:G485"/>
    <mergeCell ref="H485:I485"/>
    <mergeCell ref="A486:I486"/>
    <mergeCell ref="A487:I487"/>
    <mergeCell ref="A490:A491"/>
    <mergeCell ref="B490:B491"/>
    <mergeCell ref="C490:C491"/>
    <mergeCell ref="D490:D491"/>
    <mergeCell ref="E490:G490"/>
    <mergeCell ref="H490:J490"/>
    <mergeCell ref="A493:I493"/>
    <mergeCell ref="H494:I494"/>
    <mergeCell ref="H495:I495"/>
    <mergeCell ref="A496:I496"/>
    <mergeCell ref="A497:H497"/>
    <mergeCell ref="A498:I498"/>
    <mergeCell ref="H506:I506"/>
    <mergeCell ref="A499:I499"/>
    <mergeCell ref="E500:G500"/>
    <mergeCell ref="H500:I500"/>
    <mergeCell ref="E501:G501"/>
    <mergeCell ref="H501:I501"/>
    <mergeCell ref="A502:I502"/>
    <mergeCell ref="C509:C510"/>
    <mergeCell ref="D509:E509"/>
    <mergeCell ref="F509:G510"/>
    <mergeCell ref="H509:I510"/>
    <mergeCell ref="E503:G503"/>
    <mergeCell ref="H503:I503"/>
    <mergeCell ref="E504:G504"/>
    <mergeCell ref="H504:I504"/>
    <mergeCell ref="A505:I505"/>
    <mergeCell ref="E506:G506"/>
    <mergeCell ref="J509:J510"/>
    <mergeCell ref="F511:G511"/>
    <mergeCell ref="H511:I511"/>
    <mergeCell ref="A512:I512"/>
    <mergeCell ref="A513:I513"/>
    <mergeCell ref="E507:G507"/>
    <mergeCell ref="H507:I507"/>
    <mergeCell ref="A508:I508"/>
    <mergeCell ref="A509:A510"/>
    <mergeCell ref="B509:B510"/>
    <mergeCell ref="C514:J514"/>
    <mergeCell ref="A515:B515"/>
    <mergeCell ref="D515:E515"/>
    <mergeCell ref="I515:J515"/>
    <mergeCell ref="A516:A517"/>
    <mergeCell ref="B516:B517"/>
    <mergeCell ref="C516:C517"/>
    <mergeCell ref="D516:D517"/>
    <mergeCell ref="E516:G516"/>
    <mergeCell ref="H516:J516"/>
    <mergeCell ref="A519:I519"/>
    <mergeCell ref="H520:I520"/>
    <mergeCell ref="H521:I521"/>
    <mergeCell ref="A522:I522"/>
    <mergeCell ref="A523:H523"/>
    <mergeCell ref="A524:I524"/>
    <mergeCell ref="A525:I525"/>
    <mergeCell ref="E526:G526"/>
    <mergeCell ref="H526:I526"/>
    <mergeCell ref="E527:G527"/>
    <mergeCell ref="H527:I527"/>
    <mergeCell ref="A528:I528"/>
    <mergeCell ref="E529:G529"/>
    <mergeCell ref="H529:I529"/>
    <mergeCell ref="E530:G530"/>
    <mergeCell ref="H530:I530"/>
    <mergeCell ref="A531:I531"/>
    <mergeCell ref="E532:G532"/>
    <mergeCell ref="H532:I532"/>
    <mergeCell ref="E533:G533"/>
    <mergeCell ref="H533:I533"/>
    <mergeCell ref="A534:I534"/>
    <mergeCell ref="A535:A536"/>
    <mergeCell ref="B535:B536"/>
    <mergeCell ref="C535:C536"/>
    <mergeCell ref="D535:E535"/>
    <mergeCell ref="F535:G536"/>
    <mergeCell ref="H535:I536"/>
    <mergeCell ref="A579:J579"/>
    <mergeCell ref="J535:J536"/>
    <mergeCell ref="F537:G537"/>
    <mergeCell ref="H537:I537"/>
    <mergeCell ref="A538:I538"/>
    <mergeCell ref="A539:I539"/>
    <mergeCell ref="A572:E572"/>
    <mergeCell ref="F572:I572"/>
    <mergeCell ref="E542:G542"/>
    <mergeCell ref="H542:J542"/>
  </mergeCells>
  <printOptions/>
  <pageMargins left="0.5118110236220472" right="0.5118110236220472" top="0.7874015748031497" bottom="0.7874015748031497" header="0.31496062992125984" footer="0.31496062992125984"/>
  <pageSetup firstPageNumber="113" useFirstPageNumber="1" fitToHeight="0" fitToWidth="1" horizontalDpi="600" verticalDpi="600" orientation="portrait" paperSize="9" scale="74" r:id="rId2"/>
  <headerFooter>
    <oddFooter>&amp;C&amp;P</oddFooter>
  </headerFooter>
  <rowBreaks count="19" manualBreakCount="19">
    <brk id="28" max="255" man="1"/>
    <brk id="54" max="9" man="1"/>
    <brk id="83" max="9" man="1"/>
    <brk id="113" max="9" man="1"/>
    <brk id="141" max="9" man="1"/>
    <brk id="170" max="9" man="1"/>
    <brk id="217" max="9" man="1"/>
    <brk id="231" max="255" man="1"/>
    <brk id="272" max="9" man="1"/>
    <brk id="302" max="9" man="1"/>
    <brk id="329" max="9" man="1"/>
    <brk id="356" max="9" man="1"/>
    <brk id="383" max="255" man="1"/>
    <brk id="409" max="255" man="1"/>
    <brk id="435" max="255" man="1"/>
    <brk id="461" max="255" man="1"/>
    <brk id="487" max="255" man="1"/>
    <brk id="513" max="255" man="1"/>
    <brk id="539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view="pageBreakPreview" zoomScale="85" zoomScaleSheetLayoutView="85" zoomScalePageLayoutView="0" workbookViewId="0" topLeftCell="A115">
      <selection activeCell="A9" sqref="A9:J10"/>
    </sheetView>
  </sheetViews>
  <sheetFormatPr defaultColWidth="9.140625" defaultRowHeight="15"/>
  <cols>
    <col min="1" max="1" width="8.8515625" style="109" customWidth="1"/>
    <col min="2" max="2" width="8.8515625" style="110" bestFit="1" customWidth="1"/>
    <col min="3" max="3" width="7.00390625" style="110" bestFit="1" customWidth="1"/>
    <col min="4" max="5" width="40.7109375" style="111" customWidth="1"/>
    <col min="6" max="6" width="40.7109375" style="110" customWidth="1"/>
    <col min="7" max="7" width="7.7109375" style="111" customWidth="1"/>
    <col min="8" max="8" width="7.7109375" style="219" customWidth="1"/>
    <col min="9" max="9" width="7.7109375" style="111" customWidth="1"/>
    <col min="10" max="10" width="36.57421875" style="110" customWidth="1"/>
    <col min="11" max="11" width="20.421875" style="110" bestFit="1" customWidth="1"/>
    <col min="12" max="12" width="10.421875" style="212" customWidth="1"/>
    <col min="13" max="14" width="5.421875" style="125" customWidth="1"/>
    <col min="15" max="15" width="5.421875" style="112" hidden="1" customWidth="1"/>
    <col min="16" max="16" width="10.57421875" style="113" customWidth="1"/>
    <col min="17" max="17" width="12.140625" style="216" customWidth="1"/>
    <col min="18" max="18" width="11.421875" style="216" customWidth="1"/>
    <col min="19" max="19" width="0.13671875" style="113" customWidth="1"/>
    <col min="22" max="22" width="11.140625" style="0" customWidth="1"/>
    <col min="23" max="23" width="77.00390625" style="0" customWidth="1"/>
    <col min="24" max="24" width="11.8515625" style="0" customWidth="1"/>
  </cols>
  <sheetData>
    <row r="1" spans="1:20" ht="15.75" thickBot="1">
      <c r="A1" s="936" t="s">
        <v>352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8"/>
      <c r="N1" s="938"/>
      <c r="O1" s="937"/>
      <c r="P1" s="937"/>
      <c r="Q1" s="937"/>
      <c r="R1" s="937"/>
      <c r="S1" s="939"/>
      <c r="T1" s="147"/>
    </row>
    <row r="2" spans="1:20" ht="18" customHeight="1">
      <c r="A2" s="940" t="s">
        <v>17</v>
      </c>
      <c r="B2" s="941"/>
      <c r="C2" s="942"/>
      <c r="D2" s="916" t="s">
        <v>92</v>
      </c>
      <c r="E2" s="916" t="s">
        <v>93</v>
      </c>
      <c r="F2" s="916" t="s">
        <v>94</v>
      </c>
      <c r="G2" s="916" t="s">
        <v>95</v>
      </c>
      <c r="H2" s="918" t="s">
        <v>96</v>
      </c>
      <c r="I2" s="916" t="s">
        <v>97</v>
      </c>
      <c r="J2" s="916" t="s">
        <v>98</v>
      </c>
      <c r="K2" s="916" t="s">
        <v>99</v>
      </c>
      <c r="L2" s="923" t="s">
        <v>100</v>
      </c>
      <c r="M2" s="929" t="s">
        <v>101</v>
      </c>
      <c r="N2" s="930"/>
      <c r="O2" s="931"/>
      <c r="P2" s="932" t="s">
        <v>102</v>
      </c>
      <c r="Q2" s="927" t="s">
        <v>103</v>
      </c>
      <c r="R2" s="925" t="s">
        <v>104</v>
      </c>
      <c r="S2" s="943" t="s">
        <v>105</v>
      </c>
      <c r="T2" s="147"/>
    </row>
    <row r="3" spans="1:20" ht="15.75" thickBot="1">
      <c r="A3" s="545" t="s">
        <v>106</v>
      </c>
      <c r="B3" s="546" t="s">
        <v>107</v>
      </c>
      <c r="C3" s="546" t="s">
        <v>108</v>
      </c>
      <c r="D3" s="917"/>
      <c r="E3" s="917"/>
      <c r="F3" s="917"/>
      <c r="G3" s="917"/>
      <c r="H3" s="919"/>
      <c r="I3" s="917"/>
      <c r="J3" s="917"/>
      <c r="K3" s="917"/>
      <c r="L3" s="924"/>
      <c r="M3" s="547" t="s">
        <v>109</v>
      </c>
      <c r="N3" s="547" t="s">
        <v>110</v>
      </c>
      <c r="O3" s="547" t="s">
        <v>111</v>
      </c>
      <c r="P3" s="933"/>
      <c r="Q3" s="928"/>
      <c r="R3" s="926"/>
      <c r="S3" s="944"/>
      <c r="T3" s="147"/>
    </row>
    <row r="4" spans="1:20" ht="15.75" thickBot="1">
      <c r="A4" s="108" t="s">
        <v>671</v>
      </c>
      <c r="B4" s="533"/>
      <c r="C4" s="244"/>
      <c r="D4" s="244"/>
      <c r="E4" s="244"/>
      <c r="F4" s="244"/>
      <c r="G4" s="244"/>
      <c r="H4" s="245"/>
      <c r="I4" s="244"/>
      <c r="J4" s="244"/>
      <c r="K4" s="244"/>
      <c r="L4" s="246"/>
      <c r="M4" s="247"/>
      <c r="N4" s="247"/>
      <c r="O4" s="247"/>
      <c r="P4" s="248"/>
      <c r="Q4" s="249"/>
      <c r="R4" s="250"/>
      <c r="S4" s="528"/>
      <c r="T4" s="147"/>
    </row>
    <row r="5" spans="1:19" ht="34.5" thickBot="1">
      <c r="A5" s="92">
        <v>5501700</v>
      </c>
      <c r="B5" s="93"/>
      <c r="C5" s="93"/>
      <c r="D5" s="94" t="s">
        <v>489</v>
      </c>
      <c r="E5" s="94"/>
      <c r="F5" s="94"/>
      <c r="G5" s="94">
        <v>656</v>
      </c>
      <c r="H5" s="120"/>
      <c r="I5" s="120"/>
      <c r="J5" s="93" t="s">
        <v>490</v>
      </c>
      <c r="K5" s="93" t="s">
        <v>112</v>
      </c>
      <c r="L5" s="95">
        <v>0.065</v>
      </c>
      <c r="M5" s="239">
        <v>7.35</v>
      </c>
      <c r="N5" s="239">
        <v>2.95</v>
      </c>
      <c r="O5" s="239"/>
      <c r="P5" s="96">
        <v>42.64</v>
      </c>
      <c r="Q5" s="96">
        <v>313.404</v>
      </c>
      <c r="R5" s="148">
        <v>125.78800000000001</v>
      </c>
      <c r="S5" s="364">
        <v>0</v>
      </c>
    </row>
    <row r="6" spans="1:19" ht="23.25" thickBot="1">
      <c r="A6" s="92">
        <v>5501701</v>
      </c>
      <c r="B6" s="93"/>
      <c r="C6" s="93"/>
      <c r="D6" s="94" t="s">
        <v>491</v>
      </c>
      <c r="E6" s="94"/>
      <c r="F6" s="94"/>
      <c r="G6" s="94">
        <v>2</v>
      </c>
      <c r="H6" s="120"/>
      <c r="I6" s="120"/>
      <c r="J6" s="93" t="s">
        <v>492</v>
      </c>
      <c r="K6" s="93" t="s">
        <v>114</v>
      </c>
      <c r="L6" s="95">
        <v>0.13916273707698537</v>
      </c>
      <c r="M6" s="239">
        <v>7.35</v>
      </c>
      <c r="N6" s="239">
        <v>2.95</v>
      </c>
      <c r="O6" s="239"/>
      <c r="P6" s="96">
        <v>0.27832547415397074</v>
      </c>
      <c r="Q6" s="96">
        <v>2.045692235031685</v>
      </c>
      <c r="R6" s="148">
        <v>0.8210601487542137</v>
      </c>
      <c r="S6" s="364">
        <v>0</v>
      </c>
    </row>
    <row r="7" spans="1:19" ht="23.25" thickBot="1">
      <c r="A7" s="92">
        <v>5501702</v>
      </c>
      <c r="B7" s="93"/>
      <c r="C7" s="93"/>
      <c r="D7" s="94" t="s">
        <v>493</v>
      </c>
      <c r="E7" s="94"/>
      <c r="F7" s="94"/>
      <c r="G7" s="94">
        <v>2</v>
      </c>
      <c r="H7" s="120"/>
      <c r="I7" s="120"/>
      <c r="J7" s="93" t="s">
        <v>492</v>
      </c>
      <c r="K7" s="93" t="s">
        <v>114</v>
      </c>
      <c r="L7" s="95">
        <v>4.319689898685966</v>
      </c>
      <c r="M7" s="239">
        <v>7.35</v>
      </c>
      <c r="N7" s="239">
        <v>2.95</v>
      </c>
      <c r="O7" s="239"/>
      <c r="P7" s="96">
        <v>8.639379797371932</v>
      </c>
      <c r="Q7" s="96">
        <v>63.499441510683695</v>
      </c>
      <c r="R7" s="148">
        <v>25.4861704022472</v>
      </c>
      <c r="S7" s="364">
        <v>0</v>
      </c>
    </row>
    <row r="8" spans="1:19" ht="23.25" thickBot="1">
      <c r="A8" s="92">
        <v>42505</v>
      </c>
      <c r="B8" s="93"/>
      <c r="C8" s="93"/>
      <c r="D8" s="94" t="s">
        <v>389</v>
      </c>
      <c r="E8" s="94"/>
      <c r="F8" s="565"/>
      <c r="G8" s="94">
        <v>656</v>
      </c>
      <c r="H8" s="573"/>
      <c r="I8" s="573"/>
      <c r="J8" s="570" t="s">
        <v>390</v>
      </c>
      <c r="K8" s="243" t="s">
        <v>116</v>
      </c>
      <c r="L8" s="295">
        <v>0.125</v>
      </c>
      <c r="M8" s="239">
        <v>7.35</v>
      </c>
      <c r="N8" s="239">
        <v>2.95</v>
      </c>
      <c r="O8" s="239"/>
      <c r="P8" s="217">
        <v>82</v>
      </c>
      <c r="Q8" s="217">
        <v>602.6999999999999</v>
      </c>
      <c r="R8" s="290">
        <v>241.9</v>
      </c>
      <c r="S8" s="603">
        <v>0</v>
      </c>
    </row>
    <row r="9" spans="1:20" ht="15">
      <c r="A9" s="893" t="s">
        <v>115</v>
      </c>
      <c r="B9" s="894"/>
      <c r="C9" s="894"/>
      <c r="D9" s="894"/>
      <c r="E9" s="894"/>
      <c r="F9" s="894"/>
      <c r="G9" s="894"/>
      <c r="H9" s="894"/>
      <c r="I9" s="894"/>
      <c r="J9" s="894"/>
      <c r="K9" s="899" t="s">
        <v>112</v>
      </c>
      <c r="L9" s="900"/>
      <c r="M9" s="900"/>
      <c r="N9" s="900"/>
      <c r="O9" s="900"/>
      <c r="P9" s="901"/>
      <c r="Q9" s="224">
        <v>916.1039999999999</v>
      </c>
      <c r="R9" s="254">
        <v>367.688</v>
      </c>
      <c r="S9" s="528"/>
      <c r="T9" s="147" t="s">
        <v>112</v>
      </c>
    </row>
    <row r="10" spans="1:20" ht="15.75" thickBot="1">
      <c r="A10" s="908"/>
      <c r="B10" s="909"/>
      <c r="C10" s="909"/>
      <c r="D10" s="909"/>
      <c r="E10" s="909"/>
      <c r="F10" s="909"/>
      <c r="G10" s="909"/>
      <c r="H10" s="909"/>
      <c r="I10" s="909"/>
      <c r="J10" s="909"/>
      <c r="K10" s="910" t="s">
        <v>117</v>
      </c>
      <c r="L10" s="911"/>
      <c r="M10" s="911"/>
      <c r="N10" s="911"/>
      <c r="O10" s="911"/>
      <c r="P10" s="912"/>
      <c r="Q10" s="297">
        <v>65.54513374571538</v>
      </c>
      <c r="R10" s="298">
        <v>26.307230551001414</v>
      </c>
      <c r="S10" s="528"/>
      <c r="T10" s="147" t="s">
        <v>117</v>
      </c>
    </row>
    <row r="11" spans="1:24" ht="15.75" thickBot="1">
      <c r="A11" s="108" t="s">
        <v>202</v>
      </c>
      <c r="B11" s="533"/>
      <c r="C11" s="244"/>
      <c r="D11" s="244"/>
      <c r="E11" s="244"/>
      <c r="F11" s="244"/>
      <c r="G11" s="244"/>
      <c r="H11" s="245"/>
      <c r="I11" s="244"/>
      <c r="J11" s="244"/>
      <c r="K11" s="244"/>
      <c r="L11" s="246"/>
      <c r="M11" s="247"/>
      <c r="N11" s="247"/>
      <c r="O11" s="247"/>
      <c r="P11" s="248"/>
      <c r="Q11" s="249"/>
      <c r="R11" s="250"/>
      <c r="S11" s="502"/>
      <c r="T11" s="147"/>
      <c r="V11" s="99"/>
      <c r="W11" s="100"/>
      <c r="X11" s="101"/>
    </row>
    <row r="12" spans="1:19" ht="23.25" thickBot="1">
      <c r="A12" s="92">
        <v>40893</v>
      </c>
      <c r="B12" s="93"/>
      <c r="C12" s="93"/>
      <c r="D12" s="93" t="s">
        <v>209</v>
      </c>
      <c r="E12" s="93"/>
      <c r="F12" s="93"/>
      <c r="G12" s="94">
        <v>171</v>
      </c>
      <c r="H12" s="120"/>
      <c r="I12" s="120"/>
      <c r="J12" s="93" t="s">
        <v>208</v>
      </c>
      <c r="K12" s="93" t="s">
        <v>116</v>
      </c>
      <c r="L12" s="95">
        <v>0.108</v>
      </c>
      <c r="M12" s="239">
        <v>7.35</v>
      </c>
      <c r="N12" s="239">
        <v>2.95</v>
      </c>
      <c r="O12" s="239"/>
      <c r="P12" s="96">
        <v>18.468</v>
      </c>
      <c r="Q12" s="96">
        <v>135.7398</v>
      </c>
      <c r="R12" s="148">
        <v>54.4806</v>
      </c>
      <c r="S12" s="364">
        <v>0</v>
      </c>
    </row>
    <row r="13" spans="1:19" ht="15" customHeight="1">
      <c r="A13" s="862">
        <v>43018</v>
      </c>
      <c r="B13" s="574"/>
      <c r="C13" s="574"/>
      <c r="D13" s="905" t="s">
        <v>210</v>
      </c>
      <c r="E13" s="574"/>
      <c r="F13" s="351"/>
      <c r="G13" s="865">
        <v>110</v>
      </c>
      <c r="H13" s="575"/>
      <c r="I13" s="278"/>
      <c r="J13" s="104" t="s">
        <v>211</v>
      </c>
      <c r="K13" s="104" t="s">
        <v>114</v>
      </c>
      <c r="L13" s="117">
        <v>0.097</v>
      </c>
      <c r="M13" s="103">
        <v>2.9</v>
      </c>
      <c r="N13" s="103">
        <v>0</v>
      </c>
      <c r="O13" s="103"/>
      <c r="P13" s="117">
        <v>10.67</v>
      </c>
      <c r="Q13" s="117">
        <v>30.942999999999998</v>
      </c>
      <c r="R13" s="277">
        <v>0</v>
      </c>
      <c r="S13" s="267">
        <v>0</v>
      </c>
    </row>
    <row r="14" spans="1:19" ht="15">
      <c r="A14" s="863"/>
      <c r="B14" s="872">
        <v>40348</v>
      </c>
      <c r="C14" s="569"/>
      <c r="D14" s="874"/>
      <c r="E14" s="872" t="s">
        <v>179</v>
      </c>
      <c r="F14" s="352"/>
      <c r="G14" s="866"/>
      <c r="H14" s="877">
        <v>0.0065</v>
      </c>
      <c r="I14" s="218"/>
      <c r="J14" s="569" t="s">
        <v>180</v>
      </c>
      <c r="K14" s="569" t="s">
        <v>112</v>
      </c>
      <c r="L14" s="102">
        <v>0.01176825</v>
      </c>
      <c r="M14" s="155">
        <v>4.7</v>
      </c>
      <c r="N14" s="155">
        <v>0</v>
      </c>
      <c r="O14" s="155"/>
      <c r="P14" s="102">
        <v>1.2945075</v>
      </c>
      <c r="Q14" s="102">
        <v>6.08418525</v>
      </c>
      <c r="R14" s="151">
        <v>0</v>
      </c>
      <c r="S14" s="153">
        <v>0</v>
      </c>
    </row>
    <row r="15" spans="1:19" ht="15.75" thickBot="1">
      <c r="A15" s="864"/>
      <c r="B15" s="875"/>
      <c r="C15" s="570"/>
      <c r="D15" s="875"/>
      <c r="E15" s="875"/>
      <c r="F15" s="353"/>
      <c r="G15" s="867"/>
      <c r="H15" s="886"/>
      <c r="I15" s="573"/>
      <c r="J15" s="570" t="s">
        <v>181</v>
      </c>
      <c r="K15" s="570" t="s">
        <v>114</v>
      </c>
      <c r="L15" s="115">
        <v>0.00238875</v>
      </c>
      <c r="M15" s="233">
        <v>2.9</v>
      </c>
      <c r="N15" s="233">
        <v>0</v>
      </c>
      <c r="O15" s="233"/>
      <c r="P15" s="115">
        <v>0.26276249999999995</v>
      </c>
      <c r="Q15" s="115">
        <v>0.7620112499999998</v>
      </c>
      <c r="R15" s="154">
        <v>0</v>
      </c>
      <c r="S15" s="265">
        <v>0</v>
      </c>
    </row>
    <row r="16" spans="1:19" ht="15">
      <c r="A16" s="862">
        <v>43060</v>
      </c>
      <c r="B16" s="104"/>
      <c r="C16" s="569"/>
      <c r="D16" s="905" t="s">
        <v>242</v>
      </c>
      <c r="E16" s="104"/>
      <c r="F16" s="352"/>
      <c r="G16" s="865">
        <v>17</v>
      </c>
      <c r="H16" s="362"/>
      <c r="I16" s="363"/>
      <c r="J16" s="104" t="s">
        <v>203</v>
      </c>
      <c r="K16" s="104" t="s">
        <v>114</v>
      </c>
      <c r="L16" s="117">
        <v>0.1</v>
      </c>
      <c r="M16" s="103">
        <v>125.5</v>
      </c>
      <c r="N16" s="103">
        <v>0</v>
      </c>
      <c r="O16" s="103"/>
      <c r="P16" s="117">
        <v>1.7000000000000002</v>
      </c>
      <c r="Q16" s="117">
        <v>213.35000000000002</v>
      </c>
      <c r="R16" s="277">
        <v>0</v>
      </c>
      <c r="S16" s="267">
        <v>0</v>
      </c>
    </row>
    <row r="17" spans="1:19" ht="15">
      <c r="A17" s="863"/>
      <c r="B17" s="872">
        <v>40358</v>
      </c>
      <c r="C17" s="569"/>
      <c r="D17" s="874"/>
      <c r="E17" s="872" t="s">
        <v>281</v>
      </c>
      <c r="F17" s="352"/>
      <c r="G17" s="866"/>
      <c r="H17" s="877">
        <v>0.16</v>
      </c>
      <c r="I17" s="363"/>
      <c r="J17" s="569" t="s">
        <v>180</v>
      </c>
      <c r="K17" s="569" t="s">
        <v>112</v>
      </c>
      <c r="L17" s="102">
        <v>0.15473599999999998</v>
      </c>
      <c r="M17" s="155">
        <v>4.7</v>
      </c>
      <c r="N17" s="155">
        <v>0</v>
      </c>
      <c r="O17" s="155"/>
      <c r="P17" s="102">
        <v>2.6305119999999995</v>
      </c>
      <c r="Q17" s="102">
        <v>12.363406399999999</v>
      </c>
      <c r="R17" s="151">
        <v>0</v>
      </c>
      <c r="S17" s="153">
        <v>0</v>
      </c>
    </row>
    <row r="18" spans="1:19" ht="15">
      <c r="A18" s="863"/>
      <c r="B18" s="874"/>
      <c r="C18" s="569"/>
      <c r="D18" s="874"/>
      <c r="E18" s="874"/>
      <c r="F18" s="352"/>
      <c r="G18" s="866"/>
      <c r="H18" s="885"/>
      <c r="I18" s="363"/>
      <c r="J18" s="569" t="s">
        <v>181</v>
      </c>
      <c r="K18" s="569" t="s">
        <v>114</v>
      </c>
      <c r="L18" s="102">
        <v>0.05712</v>
      </c>
      <c r="M18" s="155">
        <v>2.9</v>
      </c>
      <c r="N18" s="155">
        <v>0</v>
      </c>
      <c r="O18" s="155"/>
      <c r="P18" s="102">
        <v>0.9710399999999999</v>
      </c>
      <c r="Q18" s="102">
        <v>2.816016</v>
      </c>
      <c r="R18" s="151">
        <v>0</v>
      </c>
      <c r="S18" s="153">
        <v>0</v>
      </c>
    </row>
    <row r="19" spans="1:19" ht="15">
      <c r="A19" s="863"/>
      <c r="B19" s="873"/>
      <c r="C19" s="569"/>
      <c r="D19" s="874"/>
      <c r="E19" s="873"/>
      <c r="F19" s="352"/>
      <c r="G19" s="866"/>
      <c r="H19" s="878"/>
      <c r="I19" s="363"/>
      <c r="J19" s="568" t="s">
        <v>185</v>
      </c>
      <c r="K19" s="568" t="s">
        <v>112</v>
      </c>
      <c r="L19" s="121">
        <v>0.18648</v>
      </c>
      <c r="M19" s="280">
        <v>9.4</v>
      </c>
      <c r="N19" s="280">
        <v>0.5</v>
      </c>
      <c r="O19" s="280"/>
      <c r="P19" s="121">
        <v>3.17016</v>
      </c>
      <c r="Q19" s="121">
        <v>29.799504000000002</v>
      </c>
      <c r="R19" s="234">
        <v>1.58508</v>
      </c>
      <c r="S19" s="266">
        <v>0</v>
      </c>
    </row>
    <row r="20" spans="1:19" ht="15">
      <c r="A20" s="863"/>
      <c r="B20" s="872">
        <v>40312</v>
      </c>
      <c r="C20" s="569"/>
      <c r="D20" s="874"/>
      <c r="E20" s="891" t="s">
        <v>282</v>
      </c>
      <c r="F20" s="352"/>
      <c r="G20" s="866"/>
      <c r="H20" s="877">
        <v>0.6</v>
      </c>
      <c r="I20" s="363"/>
      <c r="J20" s="569" t="s">
        <v>283</v>
      </c>
      <c r="K20" s="569" t="s">
        <v>114</v>
      </c>
      <c r="L20" s="102">
        <v>0.00156</v>
      </c>
      <c r="M20" s="155">
        <v>2.9</v>
      </c>
      <c r="N20" s="155">
        <v>0</v>
      </c>
      <c r="O20" s="155"/>
      <c r="P20" s="102">
        <v>0.02652</v>
      </c>
      <c r="Q20" s="102">
        <v>0.07690799999999999</v>
      </c>
      <c r="R20" s="151">
        <v>0</v>
      </c>
      <c r="S20" s="153">
        <v>0</v>
      </c>
    </row>
    <row r="21" spans="1:19" ht="15">
      <c r="A21" s="863"/>
      <c r="B21" s="874"/>
      <c r="C21" s="569"/>
      <c r="D21" s="874"/>
      <c r="E21" s="866"/>
      <c r="F21" s="352"/>
      <c r="G21" s="866"/>
      <c r="H21" s="885"/>
      <c r="I21" s="363"/>
      <c r="J21" s="569" t="s">
        <v>284</v>
      </c>
      <c r="K21" s="569" t="s">
        <v>114</v>
      </c>
      <c r="L21" s="102">
        <v>0.0010199999999999999</v>
      </c>
      <c r="M21" s="155">
        <v>2.9</v>
      </c>
      <c r="N21" s="155">
        <v>0</v>
      </c>
      <c r="O21" s="155"/>
      <c r="P21" s="102">
        <v>0.017339999999999998</v>
      </c>
      <c r="Q21" s="102">
        <v>0.05028599999999999</v>
      </c>
      <c r="R21" s="151">
        <v>0</v>
      </c>
      <c r="S21" s="153">
        <v>0</v>
      </c>
    </row>
    <row r="22" spans="1:19" ht="15.75" thickBot="1">
      <c r="A22" s="864"/>
      <c r="B22" s="875"/>
      <c r="C22" s="570"/>
      <c r="D22" s="875"/>
      <c r="E22" s="867"/>
      <c r="F22" s="565"/>
      <c r="G22" s="867"/>
      <c r="H22" s="886"/>
      <c r="I22" s="573"/>
      <c r="J22" s="570" t="s">
        <v>285</v>
      </c>
      <c r="K22" s="570" t="s">
        <v>114</v>
      </c>
      <c r="L22" s="115">
        <v>0.006</v>
      </c>
      <c r="M22" s="233">
        <v>2.9</v>
      </c>
      <c r="N22" s="233">
        <v>0</v>
      </c>
      <c r="O22" s="233"/>
      <c r="P22" s="115">
        <v>0.10200000000000001</v>
      </c>
      <c r="Q22" s="115">
        <v>0.2958</v>
      </c>
      <c r="R22" s="154">
        <v>0</v>
      </c>
      <c r="S22" s="265">
        <v>0</v>
      </c>
    </row>
    <row r="23" spans="1:20" ht="15">
      <c r="A23" s="862">
        <v>21002</v>
      </c>
      <c r="B23" s="574"/>
      <c r="C23" s="574"/>
      <c r="D23" s="905" t="s">
        <v>147</v>
      </c>
      <c r="E23" s="563"/>
      <c r="F23" s="563"/>
      <c r="G23" s="920">
        <v>17</v>
      </c>
      <c r="H23" s="156"/>
      <c r="I23" s="156"/>
      <c r="J23" s="574" t="s">
        <v>162</v>
      </c>
      <c r="K23" s="574" t="s">
        <v>114</v>
      </c>
      <c r="L23" s="106">
        <v>0.1406</v>
      </c>
      <c r="M23" s="122">
        <v>2.9</v>
      </c>
      <c r="N23" s="122">
        <v>0</v>
      </c>
      <c r="O23" s="292" t="s">
        <v>46</v>
      </c>
      <c r="P23" s="293">
        <v>2.3902</v>
      </c>
      <c r="Q23" s="293">
        <v>6.93158</v>
      </c>
      <c r="R23" s="294">
        <v>0</v>
      </c>
      <c r="S23" s="264" t="e">
        <v>#VALUE!</v>
      </c>
      <c r="T23" s="147"/>
    </row>
    <row r="24" spans="1:20" ht="15">
      <c r="A24" s="863"/>
      <c r="B24" s="872">
        <v>1109669</v>
      </c>
      <c r="C24" s="569"/>
      <c r="D24" s="874"/>
      <c r="E24" s="891" t="s">
        <v>118</v>
      </c>
      <c r="F24" s="287"/>
      <c r="G24" s="921"/>
      <c r="H24" s="934">
        <v>0.006</v>
      </c>
      <c r="I24" s="579"/>
      <c r="J24" s="567" t="s">
        <v>119</v>
      </c>
      <c r="K24" s="567" t="s">
        <v>112</v>
      </c>
      <c r="L24" s="107">
        <v>0.009039179999999999</v>
      </c>
      <c r="M24" s="124">
        <v>4.7</v>
      </c>
      <c r="N24" s="124">
        <v>0</v>
      </c>
      <c r="O24" s="213" t="s">
        <v>46</v>
      </c>
      <c r="P24" s="356">
        <v>0.15366606</v>
      </c>
      <c r="Q24" s="356">
        <v>0.722230482</v>
      </c>
      <c r="R24" s="357">
        <v>0</v>
      </c>
      <c r="S24" s="255" t="e">
        <v>#VALUE!</v>
      </c>
      <c r="T24" s="147"/>
    </row>
    <row r="25" spans="1:20" ht="15">
      <c r="A25" s="863"/>
      <c r="B25" s="873"/>
      <c r="C25" s="569"/>
      <c r="D25" s="874"/>
      <c r="E25" s="892"/>
      <c r="F25" s="287"/>
      <c r="G25" s="921"/>
      <c r="H25" s="935"/>
      <c r="I25" s="579"/>
      <c r="J25" s="568" t="s">
        <v>120</v>
      </c>
      <c r="K25" s="568" t="s">
        <v>114</v>
      </c>
      <c r="L25" s="296">
        <v>0.00274806</v>
      </c>
      <c r="M25" s="360">
        <v>2.9</v>
      </c>
      <c r="N25" s="360">
        <v>0</v>
      </c>
      <c r="O25" s="361" t="s">
        <v>46</v>
      </c>
      <c r="P25" s="121">
        <v>0.04671702</v>
      </c>
      <c r="Q25" s="121">
        <v>0.135479358</v>
      </c>
      <c r="R25" s="234">
        <v>0</v>
      </c>
      <c r="S25" s="256" t="e">
        <v>#VALUE!</v>
      </c>
      <c r="T25" s="147"/>
    </row>
    <row r="26" spans="1:20" ht="22.5">
      <c r="A26" s="863"/>
      <c r="B26" s="569"/>
      <c r="C26" s="569"/>
      <c r="D26" s="874"/>
      <c r="E26" s="891" t="s">
        <v>121</v>
      </c>
      <c r="F26" s="287"/>
      <c r="G26" s="921"/>
      <c r="H26" s="934">
        <v>0.1</v>
      </c>
      <c r="I26" s="579"/>
      <c r="J26" s="567" t="s">
        <v>122</v>
      </c>
      <c r="K26" s="567" t="s">
        <v>114</v>
      </c>
      <c r="L26" s="107">
        <v>8.5E-05</v>
      </c>
      <c r="M26" s="124">
        <v>2.9</v>
      </c>
      <c r="N26" s="124">
        <v>0</v>
      </c>
      <c r="O26" s="213" t="s">
        <v>46</v>
      </c>
      <c r="P26" s="356">
        <v>0.001445</v>
      </c>
      <c r="Q26" s="356">
        <v>0.0041905</v>
      </c>
      <c r="R26" s="357">
        <v>0</v>
      </c>
      <c r="S26" s="256" t="e">
        <v>#VALUE!</v>
      </c>
      <c r="T26" s="147"/>
    </row>
    <row r="27" spans="1:20" ht="15">
      <c r="A27" s="863"/>
      <c r="B27" s="872">
        <v>1107892</v>
      </c>
      <c r="C27" s="569"/>
      <c r="D27" s="874"/>
      <c r="E27" s="866"/>
      <c r="F27" s="287"/>
      <c r="G27" s="921"/>
      <c r="H27" s="945"/>
      <c r="I27" s="579"/>
      <c r="J27" s="569" t="s">
        <v>119</v>
      </c>
      <c r="K27" s="569" t="s">
        <v>112</v>
      </c>
      <c r="L27" s="116">
        <v>0.095001</v>
      </c>
      <c r="M27" s="123">
        <v>4.7</v>
      </c>
      <c r="N27" s="123">
        <v>0</v>
      </c>
      <c r="O27" s="251" t="s">
        <v>46</v>
      </c>
      <c r="P27" s="102">
        <v>1.615017</v>
      </c>
      <c r="Q27" s="102">
        <v>7.5905799</v>
      </c>
      <c r="R27" s="151">
        <v>0</v>
      </c>
      <c r="S27" s="152" t="e">
        <v>#VALUE!</v>
      </c>
      <c r="T27" s="147"/>
    </row>
    <row r="28" spans="1:20" ht="15">
      <c r="A28" s="863"/>
      <c r="B28" s="874"/>
      <c r="C28" s="569"/>
      <c r="D28" s="874"/>
      <c r="E28" s="866"/>
      <c r="F28" s="287"/>
      <c r="G28" s="921"/>
      <c r="H28" s="945"/>
      <c r="I28" s="579"/>
      <c r="J28" s="569" t="s">
        <v>123</v>
      </c>
      <c r="K28" s="569" t="s">
        <v>112</v>
      </c>
      <c r="L28" s="116">
        <v>0.055131</v>
      </c>
      <c r="M28" s="123">
        <v>9.4</v>
      </c>
      <c r="N28" s="123">
        <v>0.5</v>
      </c>
      <c r="O28" s="251" t="s">
        <v>46</v>
      </c>
      <c r="P28" s="102">
        <v>0.937227</v>
      </c>
      <c r="Q28" s="102">
        <v>8.809933800000001</v>
      </c>
      <c r="R28" s="151">
        <v>0.4686135</v>
      </c>
      <c r="S28" s="252" t="e">
        <v>#VALUE!</v>
      </c>
      <c r="T28" s="147"/>
    </row>
    <row r="29" spans="1:20" ht="15">
      <c r="A29" s="863"/>
      <c r="B29" s="874"/>
      <c r="C29" s="569"/>
      <c r="D29" s="874"/>
      <c r="E29" s="866"/>
      <c r="F29" s="287"/>
      <c r="G29" s="921"/>
      <c r="H29" s="945"/>
      <c r="I29" s="579"/>
      <c r="J29" s="569" t="s">
        <v>124</v>
      </c>
      <c r="K29" s="569" t="s">
        <v>112</v>
      </c>
      <c r="L29" s="116">
        <v>0.055131</v>
      </c>
      <c r="M29" s="123">
        <v>9.4</v>
      </c>
      <c r="N29" s="123">
        <v>0.5</v>
      </c>
      <c r="O29" s="251" t="s">
        <v>46</v>
      </c>
      <c r="P29" s="102">
        <v>0.937227</v>
      </c>
      <c r="Q29" s="102">
        <v>8.809933800000001</v>
      </c>
      <c r="R29" s="151">
        <v>0.4686135</v>
      </c>
      <c r="S29" s="252" t="e">
        <v>#VALUE!</v>
      </c>
      <c r="T29" s="147"/>
    </row>
    <row r="30" spans="1:20" ht="15.75" thickBot="1">
      <c r="A30" s="864"/>
      <c r="B30" s="875"/>
      <c r="C30" s="570"/>
      <c r="D30" s="875"/>
      <c r="E30" s="867"/>
      <c r="F30" s="289"/>
      <c r="G30" s="922"/>
      <c r="H30" s="946"/>
      <c r="I30" s="580"/>
      <c r="J30" s="570" t="s">
        <v>120</v>
      </c>
      <c r="K30" s="570" t="s">
        <v>114</v>
      </c>
      <c r="L30" s="295">
        <v>0.028215000000000004</v>
      </c>
      <c r="M30" s="358">
        <v>2.9</v>
      </c>
      <c r="N30" s="358">
        <v>0</v>
      </c>
      <c r="O30" s="359" t="s">
        <v>46</v>
      </c>
      <c r="P30" s="115">
        <v>0.47965500000000005</v>
      </c>
      <c r="Q30" s="115">
        <v>1.3909995000000002</v>
      </c>
      <c r="R30" s="154">
        <v>0</v>
      </c>
      <c r="S30" s="253" t="e">
        <v>#VALUE!</v>
      </c>
      <c r="T30" s="147"/>
    </row>
    <row r="31" spans="1:19" ht="23.25" thickBot="1">
      <c r="A31" s="519">
        <v>22001</v>
      </c>
      <c r="B31" s="93"/>
      <c r="C31" s="93"/>
      <c r="D31" s="94" t="s">
        <v>367</v>
      </c>
      <c r="E31" s="94"/>
      <c r="F31" s="94"/>
      <c r="G31" s="94">
        <v>28.7</v>
      </c>
      <c r="H31" s="120"/>
      <c r="I31" s="120"/>
      <c r="J31" s="93" t="s">
        <v>377</v>
      </c>
      <c r="K31" s="93" t="s">
        <v>112</v>
      </c>
      <c r="L31" s="95">
        <v>1.5</v>
      </c>
      <c r="M31" s="239">
        <v>2.9</v>
      </c>
      <c r="N31" s="239">
        <v>0</v>
      </c>
      <c r="O31" s="239"/>
      <c r="P31" s="96">
        <v>43.05</v>
      </c>
      <c r="Q31" s="96">
        <v>124.84499999999998</v>
      </c>
      <c r="R31" s="148">
        <v>0</v>
      </c>
      <c r="S31" s="364">
        <v>0</v>
      </c>
    </row>
    <row r="32" spans="1:19" ht="15">
      <c r="A32" s="947">
        <v>804015</v>
      </c>
      <c r="B32" s="287"/>
      <c r="C32" s="287"/>
      <c r="D32" s="906" t="s">
        <v>296</v>
      </c>
      <c r="E32" s="382"/>
      <c r="F32" s="569"/>
      <c r="G32" s="866">
        <v>41</v>
      </c>
      <c r="H32" s="572"/>
      <c r="I32" s="576"/>
      <c r="J32" s="568" t="s">
        <v>297</v>
      </c>
      <c r="K32" s="568" t="s">
        <v>298</v>
      </c>
      <c r="L32" s="296">
        <v>0.17268</v>
      </c>
      <c r="M32" s="280">
        <v>2.9</v>
      </c>
      <c r="N32" s="280">
        <v>0</v>
      </c>
      <c r="O32" s="280"/>
      <c r="P32" s="121">
        <v>7.07988</v>
      </c>
      <c r="Q32" s="121">
        <v>20.531652</v>
      </c>
      <c r="R32" s="234">
        <v>0</v>
      </c>
      <c r="S32" s="267">
        <v>0</v>
      </c>
    </row>
    <row r="33" spans="1:19" ht="15">
      <c r="A33" s="948"/>
      <c r="B33" s="951">
        <v>1109671</v>
      </c>
      <c r="C33" s="569"/>
      <c r="D33" s="907"/>
      <c r="E33" s="951" t="s">
        <v>299</v>
      </c>
      <c r="F33" s="569"/>
      <c r="G33" s="866"/>
      <c r="H33" s="879">
        <v>0.00165</v>
      </c>
      <c r="I33" s="564"/>
      <c r="J33" s="569" t="s">
        <v>119</v>
      </c>
      <c r="K33" s="569" t="s">
        <v>112</v>
      </c>
      <c r="L33" s="503">
        <v>0.002726559</v>
      </c>
      <c r="M33" s="155">
        <v>4.7</v>
      </c>
      <c r="N33" s="155">
        <v>0</v>
      </c>
      <c r="O33" s="155"/>
      <c r="P33" s="102">
        <v>0.111788919</v>
      </c>
      <c r="Q33" s="102">
        <v>0.5254079193</v>
      </c>
      <c r="R33" s="151">
        <v>0</v>
      </c>
      <c r="S33" s="153">
        <v>0</v>
      </c>
    </row>
    <row r="34" spans="1:19" ht="15">
      <c r="A34" s="948"/>
      <c r="B34" s="952"/>
      <c r="C34" s="569"/>
      <c r="D34" s="907"/>
      <c r="E34" s="952"/>
      <c r="F34" s="569"/>
      <c r="G34" s="866"/>
      <c r="H34" s="957"/>
      <c r="I34" s="576"/>
      <c r="J34" s="568" t="s">
        <v>120</v>
      </c>
      <c r="K34" s="568" t="s">
        <v>114</v>
      </c>
      <c r="L34" s="296">
        <v>0.000597828</v>
      </c>
      <c r="M34" s="280">
        <v>2.9</v>
      </c>
      <c r="N34" s="280">
        <v>0</v>
      </c>
      <c r="O34" s="280"/>
      <c r="P34" s="121">
        <v>0.024510948</v>
      </c>
      <c r="Q34" s="121">
        <v>0.0710817492</v>
      </c>
      <c r="R34" s="234">
        <v>0</v>
      </c>
      <c r="S34" s="266">
        <v>0</v>
      </c>
    </row>
    <row r="35" spans="1:19" ht="15">
      <c r="A35" s="948"/>
      <c r="B35" s="906">
        <v>1106165</v>
      </c>
      <c r="C35" s="569"/>
      <c r="D35" s="907"/>
      <c r="E35" s="906" t="s">
        <v>300</v>
      </c>
      <c r="F35" s="569"/>
      <c r="G35" s="866"/>
      <c r="H35" s="958">
        <v>0.151</v>
      </c>
      <c r="I35" s="564"/>
      <c r="J35" s="568" t="s">
        <v>301</v>
      </c>
      <c r="K35" s="568" t="s">
        <v>112</v>
      </c>
      <c r="L35" s="296">
        <v>0.119139</v>
      </c>
      <c r="M35" s="280">
        <v>9.4</v>
      </c>
      <c r="N35" s="280">
        <v>0.5</v>
      </c>
      <c r="O35" s="280"/>
      <c r="P35" s="121">
        <v>4.8846989999999995</v>
      </c>
      <c r="Q35" s="121">
        <v>45.916170599999994</v>
      </c>
      <c r="R35" s="234">
        <v>2.4423494999999997</v>
      </c>
      <c r="S35" s="266">
        <v>0</v>
      </c>
    </row>
    <row r="36" spans="1:19" ht="22.5">
      <c r="A36" s="948"/>
      <c r="B36" s="906"/>
      <c r="C36" s="960">
        <v>1107892</v>
      </c>
      <c r="D36" s="907"/>
      <c r="E36" s="906"/>
      <c r="F36" s="872" t="s">
        <v>121</v>
      </c>
      <c r="G36" s="866"/>
      <c r="H36" s="958"/>
      <c r="I36" s="953">
        <v>0.7</v>
      </c>
      <c r="J36" s="569" t="s">
        <v>122</v>
      </c>
      <c r="K36" s="569" t="s">
        <v>114</v>
      </c>
      <c r="L36" s="503">
        <v>8.984499999999999E-05</v>
      </c>
      <c r="M36" s="155">
        <v>2.9</v>
      </c>
      <c r="N36" s="155">
        <v>0</v>
      </c>
      <c r="O36" s="155"/>
      <c r="P36" s="102">
        <v>0.0036836449999999997</v>
      </c>
      <c r="Q36" s="102">
        <v>0.010682570499999999</v>
      </c>
      <c r="R36" s="151">
        <v>0</v>
      </c>
      <c r="S36" s="153">
        <v>0</v>
      </c>
    </row>
    <row r="37" spans="1:19" ht="15">
      <c r="A37" s="948"/>
      <c r="B37" s="907"/>
      <c r="C37" s="960"/>
      <c r="D37" s="907"/>
      <c r="E37" s="907"/>
      <c r="F37" s="874"/>
      <c r="G37" s="866"/>
      <c r="H37" s="880"/>
      <c r="I37" s="954"/>
      <c r="J37" s="569" t="s">
        <v>119</v>
      </c>
      <c r="K37" s="569" t="s">
        <v>112</v>
      </c>
      <c r="L37" s="503">
        <v>0.100416057</v>
      </c>
      <c r="M37" s="155">
        <v>4.7</v>
      </c>
      <c r="N37" s="155">
        <v>0</v>
      </c>
      <c r="O37" s="155"/>
      <c r="P37" s="102">
        <v>4.1170583370000005</v>
      </c>
      <c r="Q37" s="102">
        <v>19.350174183900002</v>
      </c>
      <c r="R37" s="151">
        <v>0</v>
      </c>
      <c r="S37" s="153">
        <v>0</v>
      </c>
    </row>
    <row r="38" spans="1:19" ht="15">
      <c r="A38" s="948"/>
      <c r="B38" s="907"/>
      <c r="C38" s="960"/>
      <c r="D38" s="907"/>
      <c r="E38" s="907"/>
      <c r="F38" s="874"/>
      <c r="G38" s="866"/>
      <c r="H38" s="880"/>
      <c r="I38" s="955"/>
      <c r="J38" s="569" t="s">
        <v>123</v>
      </c>
      <c r="K38" s="569" t="s">
        <v>112</v>
      </c>
      <c r="L38" s="503">
        <v>0.05827346699999999</v>
      </c>
      <c r="M38" s="155">
        <v>9.4</v>
      </c>
      <c r="N38" s="155">
        <v>0.5</v>
      </c>
      <c r="O38" s="155"/>
      <c r="P38" s="102">
        <v>2.3892121469999994</v>
      </c>
      <c r="Q38" s="102">
        <v>22.458594181799995</v>
      </c>
      <c r="R38" s="151">
        <v>1.1946060734999997</v>
      </c>
      <c r="S38" s="153">
        <v>0</v>
      </c>
    </row>
    <row r="39" spans="1:19" ht="15">
      <c r="A39" s="948"/>
      <c r="B39" s="907"/>
      <c r="C39" s="960"/>
      <c r="D39" s="907"/>
      <c r="E39" s="907"/>
      <c r="F39" s="874"/>
      <c r="G39" s="866"/>
      <c r="H39" s="880"/>
      <c r="I39" s="955"/>
      <c r="J39" s="569" t="s">
        <v>124</v>
      </c>
      <c r="K39" s="569" t="s">
        <v>112</v>
      </c>
      <c r="L39" s="503">
        <v>0.05827346699999999</v>
      </c>
      <c r="M39" s="155">
        <v>9.4</v>
      </c>
      <c r="N39" s="155">
        <v>0.5</v>
      </c>
      <c r="O39" s="155"/>
      <c r="P39" s="102">
        <v>2.3892121469999994</v>
      </c>
      <c r="Q39" s="102">
        <v>22.458594181799995</v>
      </c>
      <c r="R39" s="151">
        <v>1.1946060734999997</v>
      </c>
      <c r="S39" s="153">
        <v>0</v>
      </c>
    </row>
    <row r="40" spans="1:19" ht="15">
      <c r="A40" s="948"/>
      <c r="B40" s="876"/>
      <c r="C40" s="960"/>
      <c r="D40" s="907"/>
      <c r="E40" s="876"/>
      <c r="F40" s="873"/>
      <c r="G40" s="866"/>
      <c r="H40" s="959"/>
      <c r="I40" s="956"/>
      <c r="J40" s="568" t="s">
        <v>120</v>
      </c>
      <c r="K40" s="568" t="s">
        <v>114</v>
      </c>
      <c r="L40" s="288">
        <v>0.029823255</v>
      </c>
      <c r="M40" s="280">
        <v>2.9</v>
      </c>
      <c r="N40" s="280">
        <v>0</v>
      </c>
      <c r="O40" s="280"/>
      <c r="P40" s="121">
        <v>1.222753455</v>
      </c>
      <c r="Q40" s="121">
        <v>3.5459850195000002</v>
      </c>
      <c r="R40" s="234">
        <v>0</v>
      </c>
      <c r="S40" s="266">
        <v>0</v>
      </c>
    </row>
    <row r="41" spans="1:19" ht="15">
      <c r="A41" s="948"/>
      <c r="B41" s="951">
        <v>3103302</v>
      </c>
      <c r="C41" s="569"/>
      <c r="D41" s="907"/>
      <c r="E41" s="951" t="s">
        <v>198</v>
      </c>
      <c r="F41" s="569"/>
      <c r="G41" s="866"/>
      <c r="H41" s="879">
        <v>0.5</v>
      </c>
      <c r="I41" s="564"/>
      <c r="J41" s="569" t="s">
        <v>199</v>
      </c>
      <c r="K41" s="569" t="s">
        <v>114</v>
      </c>
      <c r="L41" s="503">
        <v>1.5E-05</v>
      </c>
      <c r="M41" s="155">
        <v>2.9</v>
      </c>
      <c r="N41" s="155">
        <v>0</v>
      </c>
      <c r="O41" s="155"/>
      <c r="P41" s="102">
        <v>0.000615</v>
      </c>
      <c r="Q41" s="102">
        <v>0.0017835</v>
      </c>
      <c r="R41" s="151">
        <v>0</v>
      </c>
      <c r="S41" s="153">
        <v>0</v>
      </c>
    </row>
    <row r="42" spans="1:19" ht="15">
      <c r="A42" s="948"/>
      <c r="B42" s="907"/>
      <c r="C42" s="569"/>
      <c r="D42" s="907"/>
      <c r="E42" s="907"/>
      <c r="F42" s="569"/>
      <c r="G42" s="866"/>
      <c r="H42" s="880"/>
      <c r="I42" s="564"/>
      <c r="J42" s="569" t="s">
        <v>200</v>
      </c>
      <c r="K42" s="569" t="s">
        <v>114</v>
      </c>
      <c r="L42" s="503">
        <v>0.00152</v>
      </c>
      <c r="M42" s="155">
        <v>2.9</v>
      </c>
      <c r="N42" s="155">
        <v>0</v>
      </c>
      <c r="O42" s="155"/>
      <c r="P42" s="102">
        <v>0.06232</v>
      </c>
      <c r="Q42" s="102">
        <v>0.180728</v>
      </c>
      <c r="R42" s="151">
        <v>0</v>
      </c>
      <c r="S42" s="153">
        <v>0</v>
      </c>
    </row>
    <row r="43" spans="1:19" ht="15.75" thickBot="1">
      <c r="A43" s="949"/>
      <c r="B43" s="950"/>
      <c r="C43" s="570"/>
      <c r="D43" s="950"/>
      <c r="E43" s="950"/>
      <c r="F43" s="570"/>
      <c r="G43" s="867"/>
      <c r="H43" s="881"/>
      <c r="I43" s="565"/>
      <c r="J43" s="570" t="s">
        <v>201</v>
      </c>
      <c r="K43" s="570" t="s">
        <v>114</v>
      </c>
      <c r="L43" s="295">
        <v>0.005055</v>
      </c>
      <c r="M43" s="233">
        <v>2.9</v>
      </c>
      <c r="N43" s="233">
        <v>0</v>
      </c>
      <c r="O43" s="233"/>
      <c r="P43" s="115">
        <v>0.207255</v>
      </c>
      <c r="Q43" s="115">
        <v>0.6010395</v>
      </c>
      <c r="R43" s="154">
        <v>0</v>
      </c>
      <c r="S43" s="265">
        <v>0</v>
      </c>
    </row>
    <row r="44" spans="1:19" ht="22.5">
      <c r="A44" s="862">
        <v>23001</v>
      </c>
      <c r="B44" s="574"/>
      <c r="C44" s="569"/>
      <c r="D44" s="865" t="s">
        <v>302</v>
      </c>
      <c r="E44" s="563"/>
      <c r="F44" s="569"/>
      <c r="G44" s="865">
        <v>7</v>
      </c>
      <c r="H44" s="575"/>
      <c r="I44" s="564"/>
      <c r="J44" s="104" t="s">
        <v>303</v>
      </c>
      <c r="K44" s="104" t="s">
        <v>114</v>
      </c>
      <c r="L44" s="119">
        <v>0.043</v>
      </c>
      <c r="M44" s="103">
        <v>125.5</v>
      </c>
      <c r="N44" s="103">
        <v>0</v>
      </c>
      <c r="O44" s="103"/>
      <c r="P44" s="117">
        <v>0.301</v>
      </c>
      <c r="Q44" s="117">
        <v>37.7755</v>
      </c>
      <c r="R44" s="277">
        <v>0</v>
      </c>
      <c r="S44" s="267">
        <v>0</v>
      </c>
    </row>
    <row r="45" spans="1:19" ht="15">
      <c r="A45" s="863"/>
      <c r="B45" s="872">
        <v>2009619</v>
      </c>
      <c r="C45" s="569"/>
      <c r="D45" s="866"/>
      <c r="E45" s="891" t="s">
        <v>304</v>
      </c>
      <c r="F45" s="569"/>
      <c r="G45" s="866"/>
      <c r="H45" s="877">
        <v>3.81</v>
      </c>
      <c r="I45" s="564"/>
      <c r="J45" s="582" t="s">
        <v>305</v>
      </c>
      <c r="K45" s="582" t="s">
        <v>114</v>
      </c>
      <c r="L45" s="378">
        <v>0.802386</v>
      </c>
      <c r="M45" s="379">
        <v>2.9</v>
      </c>
      <c r="N45" s="379">
        <v>0</v>
      </c>
      <c r="O45" s="379"/>
      <c r="P45" s="380">
        <v>5.616702</v>
      </c>
      <c r="Q45" s="380">
        <v>16.2884358</v>
      </c>
      <c r="R45" s="381">
        <v>0</v>
      </c>
      <c r="S45" s="604">
        <v>0</v>
      </c>
    </row>
    <row r="46" spans="1:19" ht="15">
      <c r="A46" s="863"/>
      <c r="B46" s="874"/>
      <c r="C46" s="872">
        <v>1109697</v>
      </c>
      <c r="D46" s="866"/>
      <c r="E46" s="866"/>
      <c r="F46" s="891" t="s">
        <v>306</v>
      </c>
      <c r="G46" s="866"/>
      <c r="H46" s="885"/>
      <c r="I46" s="877">
        <v>0.015</v>
      </c>
      <c r="J46" s="569" t="s">
        <v>119</v>
      </c>
      <c r="K46" s="569" t="s">
        <v>112</v>
      </c>
      <c r="L46" s="503">
        <v>0.0891019935</v>
      </c>
      <c r="M46" s="155">
        <v>4.7</v>
      </c>
      <c r="N46" s="155">
        <v>0</v>
      </c>
      <c r="O46" s="155"/>
      <c r="P46" s="102">
        <v>0.6237139545</v>
      </c>
      <c r="Q46" s="102">
        <v>2.9314555861500002</v>
      </c>
      <c r="R46" s="151">
        <v>0</v>
      </c>
      <c r="S46" s="153">
        <v>0</v>
      </c>
    </row>
    <row r="47" spans="1:19" ht="15">
      <c r="A47" s="863"/>
      <c r="B47" s="874"/>
      <c r="C47" s="874"/>
      <c r="D47" s="866"/>
      <c r="E47" s="866"/>
      <c r="F47" s="866"/>
      <c r="G47" s="866"/>
      <c r="H47" s="885"/>
      <c r="I47" s="885"/>
      <c r="J47" s="569" t="s">
        <v>113</v>
      </c>
      <c r="K47" s="569" t="s">
        <v>114</v>
      </c>
      <c r="L47" s="503">
        <v>0.001791081</v>
      </c>
      <c r="M47" s="155">
        <v>2.9</v>
      </c>
      <c r="N47" s="155">
        <v>0</v>
      </c>
      <c r="O47" s="155"/>
      <c r="P47" s="102">
        <v>0.012537567</v>
      </c>
      <c r="Q47" s="102">
        <v>0.036358944299999994</v>
      </c>
      <c r="R47" s="151">
        <v>0</v>
      </c>
      <c r="S47" s="153">
        <v>0</v>
      </c>
    </row>
    <row r="48" spans="1:19" ht="15">
      <c r="A48" s="863"/>
      <c r="B48" s="873"/>
      <c r="C48" s="873"/>
      <c r="D48" s="866"/>
      <c r="E48" s="892"/>
      <c r="F48" s="892"/>
      <c r="G48" s="866"/>
      <c r="H48" s="878"/>
      <c r="I48" s="878"/>
      <c r="J48" s="568" t="s">
        <v>120</v>
      </c>
      <c r="K48" s="568" t="s">
        <v>114</v>
      </c>
      <c r="L48" s="288">
        <v>0.0100292535</v>
      </c>
      <c r="M48" s="280">
        <v>2.9</v>
      </c>
      <c r="N48" s="280">
        <v>0</v>
      </c>
      <c r="O48" s="280"/>
      <c r="P48" s="121">
        <v>0.0702047745</v>
      </c>
      <c r="Q48" s="121">
        <v>0.20359384605</v>
      </c>
      <c r="R48" s="234">
        <v>0</v>
      </c>
      <c r="S48" s="266">
        <v>0</v>
      </c>
    </row>
    <row r="49" spans="1:19" ht="15">
      <c r="A49" s="863"/>
      <c r="B49" s="872">
        <v>1109669</v>
      </c>
      <c r="C49" s="569"/>
      <c r="D49" s="866"/>
      <c r="E49" s="891" t="s">
        <v>118</v>
      </c>
      <c r="F49" s="569"/>
      <c r="G49" s="866"/>
      <c r="H49" s="877">
        <v>0.06</v>
      </c>
      <c r="I49" s="564"/>
      <c r="J49" s="569" t="s">
        <v>119</v>
      </c>
      <c r="K49" s="569" t="s">
        <v>112</v>
      </c>
      <c r="L49" s="503">
        <v>0.0903918</v>
      </c>
      <c r="M49" s="155">
        <v>4.7</v>
      </c>
      <c r="N49" s="155">
        <v>0</v>
      </c>
      <c r="O49" s="155"/>
      <c r="P49" s="102">
        <v>0.6327425999999999</v>
      </c>
      <c r="Q49" s="102">
        <v>2.97389022</v>
      </c>
      <c r="R49" s="151">
        <v>0</v>
      </c>
      <c r="S49" s="153">
        <v>0</v>
      </c>
    </row>
    <row r="50" spans="1:19" ht="15">
      <c r="A50" s="863"/>
      <c r="B50" s="873"/>
      <c r="C50" s="569"/>
      <c r="D50" s="866"/>
      <c r="E50" s="892"/>
      <c r="F50" s="569"/>
      <c r="G50" s="866"/>
      <c r="H50" s="878"/>
      <c r="I50" s="564"/>
      <c r="J50" s="568" t="s">
        <v>120</v>
      </c>
      <c r="K50" s="568" t="s">
        <v>114</v>
      </c>
      <c r="L50" s="288">
        <v>0.027480599999999997</v>
      </c>
      <c r="M50" s="280">
        <v>2.9</v>
      </c>
      <c r="N50" s="280">
        <v>0</v>
      </c>
      <c r="O50" s="280"/>
      <c r="P50" s="121">
        <v>0.19236419999999999</v>
      </c>
      <c r="Q50" s="121">
        <v>0.5578561799999999</v>
      </c>
      <c r="R50" s="234">
        <v>0</v>
      </c>
      <c r="S50" s="266">
        <v>0</v>
      </c>
    </row>
    <row r="51" spans="1:19" ht="22.5">
      <c r="A51" s="863"/>
      <c r="B51" s="872">
        <v>1107892</v>
      </c>
      <c r="C51" s="569"/>
      <c r="D51" s="866"/>
      <c r="E51" s="891" t="s">
        <v>121</v>
      </c>
      <c r="F51" s="569"/>
      <c r="G51" s="866"/>
      <c r="H51" s="877">
        <v>0.25</v>
      </c>
      <c r="I51" s="564"/>
      <c r="J51" s="569" t="s">
        <v>125</v>
      </c>
      <c r="K51" s="569" t="s">
        <v>114</v>
      </c>
      <c r="L51" s="503">
        <v>0.0002125</v>
      </c>
      <c r="M51" s="155">
        <v>2.9</v>
      </c>
      <c r="N51" s="155">
        <v>0</v>
      </c>
      <c r="O51" s="155"/>
      <c r="P51" s="102">
        <v>0.0014874999999999999</v>
      </c>
      <c r="Q51" s="102">
        <v>0.00431375</v>
      </c>
      <c r="R51" s="151">
        <v>0</v>
      </c>
      <c r="S51" s="153">
        <v>0</v>
      </c>
    </row>
    <row r="52" spans="1:19" ht="15">
      <c r="A52" s="863"/>
      <c r="B52" s="874"/>
      <c r="C52" s="569"/>
      <c r="D52" s="866"/>
      <c r="E52" s="866"/>
      <c r="F52" s="569"/>
      <c r="G52" s="866"/>
      <c r="H52" s="885"/>
      <c r="I52" s="564"/>
      <c r="J52" s="569" t="s">
        <v>119</v>
      </c>
      <c r="K52" s="569" t="s">
        <v>112</v>
      </c>
      <c r="L52" s="503">
        <v>0.2375025</v>
      </c>
      <c r="M52" s="155">
        <v>4.7</v>
      </c>
      <c r="N52" s="155">
        <v>0</v>
      </c>
      <c r="O52" s="155"/>
      <c r="P52" s="102">
        <v>1.6625175</v>
      </c>
      <c r="Q52" s="102">
        <v>7.813832250000001</v>
      </c>
      <c r="R52" s="151">
        <v>0</v>
      </c>
      <c r="S52" s="153">
        <v>0</v>
      </c>
    </row>
    <row r="53" spans="1:19" ht="15">
      <c r="A53" s="863"/>
      <c r="B53" s="874"/>
      <c r="C53" s="569"/>
      <c r="D53" s="866"/>
      <c r="E53" s="866"/>
      <c r="F53" s="569"/>
      <c r="G53" s="866"/>
      <c r="H53" s="885"/>
      <c r="I53" s="564"/>
      <c r="J53" s="569" t="s">
        <v>123</v>
      </c>
      <c r="K53" s="569" t="s">
        <v>112</v>
      </c>
      <c r="L53" s="503">
        <v>0.1378275</v>
      </c>
      <c r="M53" s="155">
        <v>9.4</v>
      </c>
      <c r="N53" s="155">
        <v>0.5</v>
      </c>
      <c r="O53" s="155"/>
      <c r="P53" s="102">
        <v>0.9647924999999999</v>
      </c>
      <c r="Q53" s="102">
        <v>9.0690495</v>
      </c>
      <c r="R53" s="151">
        <v>0.48239624999999997</v>
      </c>
      <c r="S53" s="153">
        <v>0</v>
      </c>
    </row>
    <row r="54" spans="1:19" ht="15">
      <c r="A54" s="863"/>
      <c r="B54" s="874"/>
      <c r="C54" s="569"/>
      <c r="D54" s="866"/>
      <c r="E54" s="866"/>
      <c r="F54" s="569"/>
      <c r="G54" s="866"/>
      <c r="H54" s="885"/>
      <c r="I54" s="564"/>
      <c r="J54" s="569" t="s">
        <v>124</v>
      </c>
      <c r="K54" s="569" t="s">
        <v>112</v>
      </c>
      <c r="L54" s="503">
        <v>0.1378275</v>
      </c>
      <c r="M54" s="155">
        <v>9.4</v>
      </c>
      <c r="N54" s="155">
        <v>0.5</v>
      </c>
      <c r="O54" s="155"/>
      <c r="P54" s="102">
        <v>0.9647924999999999</v>
      </c>
      <c r="Q54" s="102">
        <v>9.0690495</v>
      </c>
      <c r="R54" s="151">
        <v>0.48239624999999997</v>
      </c>
      <c r="S54" s="153">
        <v>0</v>
      </c>
    </row>
    <row r="55" spans="1:19" ht="15">
      <c r="A55" s="863"/>
      <c r="B55" s="873"/>
      <c r="C55" s="569"/>
      <c r="D55" s="866"/>
      <c r="E55" s="892"/>
      <c r="F55" s="569"/>
      <c r="G55" s="866"/>
      <c r="H55" s="878"/>
      <c r="I55" s="564"/>
      <c r="J55" s="568" t="s">
        <v>120</v>
      </c>
      <c r="K55" s="568" t="s">
        <v>114</v>
      </c>
      <c r="L55" s="288">
        <v>0.0705375</v>
      </c>
      <c r="M55" s="280">
        <v>2.9</v>
      </c>
      <c r="N55" s="280">
        <v>0</v>
      </c>
      <c r="O55" s="280"/>
      <c r="P55" s="121">
        <v>0.4937625</v>
      </c>
      <c r="Q55" s="121">
        <v>1.43191125</v>
      </c>
      <c r="R55" s="234">
        <v>0</v>
      </c>
      <c r="S55" s="266">
        <v>0</v>
      </c>
    </row>
    <row r="56" spans="1:19" ht="15">
      <c r="A56" s="863"/>
      <c r="B56" s="872">
        <v>3103302</v>
      </c>
      <c r="C56" s="569"/>
      <c r="D56" s="866"/>
      <c r="E56" s="891" t="s">
        <v>198</v>
      </c>
      <c r="F56" s="569"/>
      <c r="G56" s="866"/>
      <c r="H56" s="877">
        <v>1.24</v>
      </c>
      <c r="I56" s="564"/>
      <c r="J56" s="569" t="s">
        <v>199</v>
      </c>
      <c r="K56" s="569" t="s">
        <v>114</v>
      </c>
      <c r="L56" s="503">
        <v>3.72E-05</v>
      </c>
      <c r="M56" s="155">
        <v>2.9</v>
      </c>
      <c r="N56" s="155">
        <v>0</v>
      </c>
      <c r="O56" s="155"/>
      <c r="P56" s="102">
        <v>0.00026040000000000004</v>
      </c>
      <c r="Q56" s="102">
        <v>0.0007551600000000001</v>
      </c>
      <c r="R56" s="151">
        <v>0</v>
      </c>
      <c r="S56" s="153">
        <v>0</v>
      </c>
    </row>
    <row r="57" spans="1:19" ht="15">
      <c r="A57" s="863"/>
      <c r="B57" s="874"/>
      <c r="C57" s="569"/>
      <c r="D57" s="866"/>
      <c r="E57" s="866"/>
      <c r="F57" s="569"/>
      <c r="G57" s="866"/>
      <c r="H57" s="885"/>
      <c r="I57" s="564"/>
      <c r="J57" s="569" t="s">
        <v>200</v>
      </c>
      <c r="K57" s="569" t="s">
        <v>114</v>
      </c>
      <c r="L57" s="503">
        <v>0.0037696</v>
      </c>
      <c r="M57" s="155">
        <v>2.9</v>
      </c>
      <c r="N57" s="155">
        <v>0</v>
      </c>
      <c r="O57" s="155"/>
      <c r="P57" s="102">
        <v>0.0263872</v>
      </c>
      <c r="Q57" s="102">
        <v>0.07652288</v>
      </c>
      <c r="R57" s="151">
        <v>0</v>
      </c>
      <c r="S57" s="153">
        <v>0</v>
      </c>
    </row>
    <row r="58" spans="1:19" ht="15.75" thickBot="1">
      <c r="A58" s="864"/>
      <c r="B58" s="875"/>
      <c r="C58" s="570"/>
      <c r="D58" s="867"/>
      <c r="E58" s="867"/>
      <c r="F58" s="570"/>
      <c r="G58" s="867"/>
      <c r="H58" s="886"/>
      <c r="I58" s="565"/>
      <c r="J58" s="570" t="s">
        <v>201</v>
      </c>
      <c r="K58" s="570" t="s">
        <v>114</v>
      </c>
      <c r="L58" s="295">
        <v>0.0125364</v>
      </c>
      <c r="M58" s="233">
        <v>2.9</v>
      </c>
      <c r="N58" s="233">
        <v>0</v>
      </c>
      <c r="O58" s="233"/>
      <c r="P58" s="115">
        <v>0.0877548</v>
      </c>
      <c r="Q58" s="115">
        <v>0.25448891999999995</v>
      </c>
      <c r="R58" s="154">
        <v>0</v>
      </c>
      <c r="S58" s="265">
        <v>0</v>
      </c>
    </row>
    <row r="59" spans="1:20" ht="15">
      <c r="A59" s="893" t="s">
        <v>115</v>
      </c>
      <c r="B59" s="894"/>
      <c r="C59" s="894"/>
      <c r="D59" s="894"/>
      <c r="E59" s="894"/>
      <c r="F59" s="894"/>
      <c r="G59" s="894"/>
      <c r="H59" s="894"/>
      <c r="I59" s="894"/>
      <c r="J59" s="894"/>
      <c r="K59" s="899" t="s">
        <v>112</v>
      </c>
      <c r="L59" s="900"/>
      <c r="M59" s="900"/>
      <c r="N59" s="900"/>
      <c r="O59" s="900"/>
      <c r="P59" s="901"/>
      <c r="Q59" s="224">
        <v>477.3307917549499</v>
      </c>
      <c r="R59" s="254">
        <v>62.799261147</v>
      </c>
      <c r="S59" s="502"/>
      <c r="T59" s="147" t="s">
        <v>112</v>
      </c>
    </row>
    <row r="60" spans="1:20" ht="15">
      <c r="A60" s="908"/>
      <c r="B60" s="909"/>
      <c r="C60" s="909"/>
      <c r="D60" s="909"/>
      <c r="E60" s="909"/>
      <c r="F60" s="909"/>
      <c r="G60" s="909"/>
      <c r="H60" s="909"/>
      <c r="I60" s="909"/>
      <c r="J60" s="909"/>
      <c r="K60" s="910" t="s">
        <v>117</v>
      </c>
      <c r="L60" s="911"/>
      <c r="M60" s="911"/>
      <c r="N60" s="911"/>
      <c r="O60" s="911"/>
      <c r="P60" s="912"/>
      <c r="Q60" s="297">
        <v>317.79730767755</v>
      </c>
      <c r="R60" s="298">
        <v>0</v>
      </c>
      <c r="S60" s="502"/>
      <c r="T60" s="147" t="s">
        <v>117</v>
      </c>
    </row>
    <row r="61" spans="1:20" ht="15.75" thickBot="1">
      <c r="A61" s="896"/>
      <c r="B61" s="897"/>
      <c r="C61" s="897"/>
      <c r="D61" s="897"/>
      <c r="E61" s="897"/>
      <c r="F61" s="897"/>
      <c r="G61" s="897"/>
      <c r="H61" s="897"/>
      <c r="I61" s="897"/>
      <c r="J61" s="897"/>
      <c r="K61" s="902" t="s">
        <v>298</v>
      </c>
      <c r="L61" s="903"/>
      <c r="M61" s="903"/>
      <c r="N61" s="903"/>
      <c r="O61" s="903"/>
      <c r="P61" s="904"/>
      <c r="Q61" s="215">
        <v>20.531652</v>
      </c>
      <c r="R61" s="261">
        <v>0</v>
      </c>
      <c r="S61" s="502"/>
      <c r="T61" s="147" t="s">
        <v>298</v>
      </c>
    </row>
    <row r="62" spans="1:19" ht="15.75" thickBot="1">
      <c r="A62" s="108" t="s">
        <v>342</v>
      </c>
      <c r="B62" s="244"/>
      <c r="C62" s="244"/>
      <c r="D62" s="244"/>
      <c r="E62" s="244"/>
      <c r="F62" s="244"/>
      <c r="G62" s="244"/>
      <c r="H62" s="245"/>
      <c r="I62" s="244"/>
      <c r="J62" s="244"/>
      <c r="K62" s="244"/>
      <c r="L62" s="246"/>
      <c r="M62" s="247"/>
      <c r="N62" s="247"/>
      <c r="O62" s="247"/>
      <c r="P62" s="248"/>
      <c r="Q62" s="249"/>
      <c r="R62" s="250"/>
      <c r="S62" s="150"/>
    </row>
    <row r="63" spans="1:19" ht="23.25" thickBot="1">
      <c r="A63" s="92">
        <v>4011276</v>
      </c>
      <c r="B63" s="93"/>
      <c r="C63" s="93"/>
      <c r="D63" s="93" t="s">
        <v>391</v>
      </c>
      <c r="E63" s="93"/>
      <c r="F63" s="522"/>
      <c r="G63" s="94">
        <v>131.20000000000002</v>
      </c>
      <c r="H63" s="120"/>
      <c r="I63" s="523"/>
      <c r="J63" s="93" t="s">
        <v>392</v>
      </c>
      <c r="K63" s="93" t="s">
        <v>112</v>
      </c>
      <c r="L63" s="95">
        <v>2.2</v>
      </c>
      <c r="M63" s="239">
        <v>9.4</v>
      </c>
      <c r="N63" s="239">
        <v>0.5</v>
      </c>
      <c r="O63" s="239"/>
      <c r="P63" s="96">
        <v>288.64000000000004</v>
      </c>
      <c r="Q63" s="96">
        <v>2713.2160000000003</v>
      </c>
      <c r="R63" s="148">
        <v>144.32000000000002</v>
      </c>
      <c r="S63" s="364">
        <v>0</v>
      </c>
    </row>
    <row r="64" spans="1:19" ht="15">
      <c r="A64" s="862">
        <v>4011463</v>
      </c>
      <c r="B64" s="574"/>
      <c r="C64" s="574"/>
      <c r="D64" s="905" t="s">
        <v>343</v>
      </c>
      <c r="E64" s="574"/>
      <c r="F64" s="574"/>
      <c r="G64" s="865">
        <v>308.0157119999999</v>
      </c>
      <c r="H64" s="575"/>
      <c r="I64" s="156"/>
      <c r="J64" s="574" t="s">
        <v>344</v>
      </c>
      <c r="K64" s="574" t="s">
        <v>112</v>
      </c>
      <c r="L64" s="106">
        <v>1.02</v>
      </c>
      <c r="M64" s="211">
        <v>52.5</v>
      </c>
      <c r="N64" s="211">
        <v>0.9</v>
      </c>
      <c r="O64" s="487" t="s">
        <v>46</v>
      </c>
      <c r="P64" s="98">
        <v>314.1760262399999</v>
      </c>
      <c r="Q64" s="488">
        <v>16494.241377599996</v>
      </c>
      <c r="R64" s="489">
        <v>282.7584236159999</v>
      </c>
      <c r="S64" s="490" t="e">
        <v>#VALUE!</v>
      </c>
    </row>
    <row r="65" spans="1:19" ht="15">
      <c r="A65" s="863"/>
      <c r="B65" s="872">
        <v>6416078</v>
      </c>
      <c r="C65" s="569"/>
      <c r="D65" s="874"/>
      <c r="E65" s="872" t="s">
        <v>345</v>
      </c>
      <c r="F65" s="569"/>
      <c r="G65" s="866"/>
      <c r="H65" s="877">
        <v>1.02</v>
      </c>
      <c r="I65" s="578"/>
      <c r="J65" s="567" t="s">
        <v>346</v>
      </c>
      <c r="K65" s="567" t="s">
        <v>112</v>
      </c>
      <c r="L65" s="107">
        <v>0.4968726</v>
      </c>
      <c r="M65" s="491">
        <v>21.15</v>
      </c>
      <c r="N65" s="491">
        <v>0.9</v>
      </c>
      <c r="O65" s="492" t="s">
        <v>46</v>
      </c>
      <c r="P65" s="356">
        <v>153.04456766229114</v>
      </c>
      <c r="Q65" s="493">
        <v>3236.8926060574577</v>
      </c>
      <c r="R65" s="494">
        <v>137.74011089606202</v>
      </c>
      <c r="S65" s="255" t="e">
        <v>#VALUE!</v>
      </c>
    </row>
    <row r="66" spans="1:19" ht="15">
      <c r="A66" s="863"/>
      <c r="B66" s="874"/>
      <c r="C66" s="569"/>
      <c r="D66" s="874"/>
      <c r="E66" s="874"/>
      <c r="F66" s="569"/>
      <c r="G66" s="866"/>
      <c r="H66" s="885"/>
      <c r="I66" s="579"/>
      <c r="J66" s="569" t="s">
        <v>347</v>
      </c>
      <c r="K66" s="569" t="s">
        <v>112</v>
      </c>
      <c r="L66" s="116">
        <v>0.0955536</v>
      </c>
      <c r="M66" s="155">
        <v>3</v>
      </c>
      <c r="N66" s="155">
        <v>0</v>
      </c>
      <c r="O66" s="105" t="s">
        <v>46</v>
      </c>
      <c r="P66" s="102">
        <v>29.43201013816319</v>
      </c>
      <c r="Q66" s="495">
        <v>88.29603041448956</v>
      </c>
      <c r="R66" s="496">
        <v>0</v>
      </c>
      <c r="S66" s="252" t="e">
        <v>#VALUE!</v>
      </c>
    </row>
    <row r="67" spans="1:19" ht="15">
      <c r="A67" s="863"/>
      <c r="B67" s="874"/>
      <c r="C67" s="569"/>
      <c r="D67" s="874"/>
      <c r="E67" s="874"/>
      <c r="F67" s="569"/>
      <c r="G67" s="866"/>
      <c r="H67" s="885"/>
      <c r="I67" s="579"/>
      <c r="J67" s="569" t="s">
        <v>123</v>
      </c>
      <c r="K67" s="569" t="s">
        <v>112</v>
      </c>
      <c r="L67" s="116">
        <v>0.0955536</v>
      </c>
      <c r="M67" s="155">
        <v>3</v>
      </c>
      <c r="N67" s="155">
        <v>0</v>
      </c>
      <c r="O67" s="105" t="s">
        <v>46</v>
      </c>
      <c r="P67" s="102">
        <v>29.43201013816319</v>
      </c>
      <c r="Q67" s="495">
        <v>88.29603041448956</v>
      </c>
      <c r="R67" s="496">
        <v>0</v>
      </c>
      <c r="S67" s="252" t="e">
        <v>#VALUE!</v>
      </c>
    </row>
    <row r="68" spans="1:19" ht="15">
      <c r="A68" s="863"/>
      <c r="B68" s="874"/>
      <c r="C68" s="569"/>
      <c r="D68" s="874"/>
      <c r="E68" s="874"/>
      <c r="F68" s="569"/>
      <c r="G68" s="866"/>
      <c r="H68" s="885"/>
      <c r="I68" s="579"/>
      <c r="J68" s="569" t="s">
        <v>113</v>
      </c>
      <c r="K68" s="569" t="s">
        <v>114</v>
      </c>
      <c r="L68" s="116">
        <v>0.057324</v>
      </c>
      <c r="M68" s="155">
        <v>3</v>
      </c>
      <c r="N68" s="155">
        <v>0</v>
      </c>
      <c r="O68" s="105" t="s">
        <v>46</v>
      </c>
      <c r="P68" s="102">
        <v>17.656692674687992</v>
      </c>
      <c r="Q68" s="495">
        <v>52.97007802406398</v>
      </c>
      <c r="R68" s="496">
        <v>0</v>
      </c>
      <c r="S68" s="252" t="e">
        <v>#VALUE!</v>
      </c>
    </row>
    <row r="69" spans="1:19" ht="15.75" thickBot="1">
      <c r="A69" s="864"/>
      <c r="B69" s="875"/>
      <c r="C69" s="570"/>
      <c r="D69" s="875"/>
      <c r="E69" s="875"/>
      <c r="F69" s="570"/>
      <c r="G69" s="867"/>
      <c r="H69" s="886"/>
      <c r="I69" s="580"/>
      <c r="J69" s="570" t="s">
        <v>348</v>
      </c>
      <c r="K69" s="570" t="s">
        <v>112</v>
      </c>
      <c r="L69" s="295">
        <v>0.2102118</v>
      </c>
      <c r="M69" s="233">
        <v>3</v>
      </c>
      <c r="N69" s="233">
        <v>0</v>
      </c>
      <c r="O69" s="355" t="s">
        <v>46</v>
      </c>
      <c r="P69" s="115">
        <v>64.74853724780158</v>
      </c>
      <c r="Q69" s="497">
        <v>194.24561174340474</v>
      </c>
      <c r="R69" s="498">
        <v>0</v>
      </c>
      <c r="S69" s="253" t="e">
        <v>#VALUE!</v>
      </c>
    </row>
    <row r="70" spans="1:20" ht="15">
      <c r="A70" s="893" t="s">
        <v>115</v>
      </c>
      <c r="B70" s="894"/>
      <c r="C70" s="894"/>
      <c r="D70" s="894"/>
      <c r="E70" s="894"/>
      <c r="F70" s="894"/>
      <c r="G70" s="894"/>
      <c r="H70" s="894"/>
      <c r="I70" s="894"/>
      <c r="J70" s="895"/>
      <c r="K70" s="899" t="s">
        <v>112</v>
      </c>
      <c r="L70" s="900"/>
      <c r="M70" s="900"/>
      <c r="N70" s="900"/>
      <c r="O70" s="900"/>
      <c r="P70" s="901"/>
      <c r="Q70" s="224">
        <v>22815.187656229842</v>
      </c>
      <c r="R70" s="254">
        <v>564.8185345120619</v>
      </c>
      <c r="S70" s="499" t="e">
        <v>#VALUE!</v>
      </c>
      <c r="T70" t="s">
        <v>112</v>
      </c>
    </row>
    <row r="71" spans="1:20" ht="15.75" thickBot="1">
      <c r="A71" s="896"/>
      <c r="B71" s="897"/>
      <c r="C71" s="897"/>
      <c r="D71" s="897"/>
      <c r="E71" s="897"/>
      <c r="F71" s="897"/>
      <c r="G71" s="897"/>
      <c r="H71" s="897"/>
      <c r="I71" s="897"/>
      <c r="J71" s="898"/>
      <c r="K71" s="902" t="s">
        <v>117</v>
      </c>
      <c r="L71" s="903"/>
      <c r="M71" s="903"/>
      <c r="N71" s="903"/>
      <c r="O71" s="903"/>
      <c r="P71" s="904"/>
      <c r="Q71" s="500">
        <v>52.97007802406398</v>
      </c>
      <c r="R71" s="501">
        <v>0</v>
      </c>
      <c r="S71" s="499" t="e">
        <v>#VALUE!</v>
      </c>
      <c r="T71" t="s">
        <v>117</v>
      </c>
    </row>
    <row r="72" spans="1:20" ht="15.75" thickBot="1">
      <c r="A72" s="108" t="s">
        <v>192</v>
      </c>
      <c r="B72" s="244"/>
      <c r="C72" s="244"/>
      <c r="D72" s="244"/>
      <c r="E72" s="244"/>
      <c r="F72" s="244"/>
      <c r="G72" s="244"/>
      <c r="H72" s="245"/>
      <c r="I72" s="244"/>
      <c r="J72" s="244"/>
      <c r="K72" s="244"/>
      <c r="L72" s="246"/>
      <c r="M72" s="247"/>
      <c r="N72" s="247"/>
      <c r="O72" s="247"/>
      <c r="P72" s="248"/>
      <c r="Q72" s="249"/>
      <c r="R72" s="250"/>
      <c r="S72" s="150"/>
      <c r="T72" s="147"/>
    </row>
    <row r="73" spans="1:19" ht="15">
      <c r="A73" s="863">
        <v>5213571</v>
      </c>
      <c r="B73" s="874">
        <v>5213417</v>
      </c>
      <c r="C73" s="569"/>
      <c r="D73" s="866" t="s">
        <v>157</v>
      </c>
      <c r="E73" s="866" t="s">
        <v>163</v>
      </c>
      <c r="F73" s="352"/>
      <c r="G73" s="866">
        <v>2.9899999999999998</v>
      </c>
      <c r="H73" s="885">
        <v>1</v>
      </c>
      <c r="I73" s="218"/>
      <c r="J73" s="569" t="s">
        <v>131</v>
      </c>
      <c r="K73" s="569" t="s">
        <v>114</v>
      </c>
      <c r="L73" s="102">
        <v>0.01178</v>
      </c>
      <c r="M73" s="155">
        <v>125.5</v>
      </c>
      <c r="N73" s="155">
        <v>0</v>
      </c>
      <c r="O73" s="155"/>
      <c r="P73" s="102">
        <v>0.0352222</v>
      </c>
      <c r="Q73" s="102">
        <v>4.4203861</v>
      </c>
      <c r="R73" s="151">
        <v>0</v>
      </c>
      <c r="S73" s="153">
        <v>0</v>
      </c>
    </row>
    <row r="74" spans="1:19" ht="15">
      <c r="A74" s="863"/>
      <c r="B74" s="874"/>
      <c r="C74" s="569"/>
      <c r="D74" s="866"/>
      <c r="E74" s="866"/>
      <c r="F74" s="352"/>
      <c r="G74" s="866"/>
      <c r="H74" s="885"/>
      <c r="I74" s="218"/>
      <c r="J74" s="569" t="s">
        <v>132</v>
      </c>
      <c r="K74" s="569" t="s">
        <v>114</v>
      </c>
      <c r="L74" s="102">
        <v>0.00044</v>
      </c>
      <c r="M74" s="155">
        <v>125.5</v>
      </c>
      <c r="N74" s="155">
        <v>0</v>
      </c>
      <c r="O74" s="155"/>
      <c r="P74" s="102">
        <v>0.0013155999999999999</v>
      </c>
      <c r="Q74" s="102">
        <v>0.1651078</v>
      </c>
      <c r="R74" s="151">
        <v>0</v>
      </c>
      <c r="S74" s="153">
        <v>0</v>
      </c>
    </row>
    <row r="75" spans="1:19" ht="15">
      <c r="A75" s="863"/>
      <c r="B75" s="874"/>
      <c r="C75" s="569"/>
      <c r="D75" s="866"/>
      <c r="E75" s="866"/>
      <c r="F75" s="352"/>
      <c r="G75" s="866"/>
      <c r="H75" s="885"/>
      <c r="I75" s="218"/>
      <c r="J75" s="569" t="s">
        <v>133</v>
      </c>
      <c r="K75" s="568" t="s">
        <v>114</v>
      </c>
      <c r="L75" s="102">
        <v>0.00019</v>
      </c>
      <c r="M75" s="155">
        <v>125.5</v>
      </c>
      <c r="N75" s="155">
        <v>0</v>
      </c>
      <c r="O75" s="155"/>
      <c r="P75" s="121">
        <v>0.0005681</v>
      </c>
      <c r="Q75" s="121">
        <v>0.07129655</v>
      </c>
      <c r="R75" s="234">
        <v>0</v>
      </c>
      <c r="S75" s="266">
        <v>0</v>
      </c>
    </row>
    <row r="76" spans="1:19" ht="15.75" thickBot="1">
      <c r="A76" s="864"/>
      <c r="B76" s="875"/>
      <c r="C76" s="243">
        <v>5212552</v>
      </c>
      <c r="D76" s="867"/>
      <c r="E76" s="867"/>
      <c r="F76" s="97" t="s">
        <v>134</v>
      </c>
      <c r="G76" s="867"/>
      <c r="H76" s="886"/>
      <c r="I76" s="235">
        <v>1</v>
      </c>
      <c r="J76" s="243" t="s">
        <v>135</v>
      </c>
      <c r="K76" s="570" t="s">
        <v>114</v>
      </c>
      <c r="L76" s="217">
        <v>0.00011</v>
      </c>
      <c r="M76" s="232">
        <v>125.5</v>
      </c>
      <c r="N76" s="232">
        <v>0</v>
      </c>
      <c r="O76" s="236"/>
      <c r="P76" s="115">
        <v>0.00032889999999999997</v>
      </c>
      <c r="Q76" s="115">
        <v>0.04127695</v>
      </c>
      <c r="R76" s="154">
        <v>0</v>
      </c>
      <c r="S76" s="265">
        <v>0</v>
      </c>
    </row>
    <row r="77" spans="1:19" ht="15">
      <c r="A77" s="862">
        <v>5216111</v>
      </c>
      <c r="B77" s="905">
        <v>1106165</v>
      </c>
      <c r="C77" s="574"/>
      <c r="D77" s="865" t="s">
        <v>158</v>
      </c>
      <c r="E77" s="865" t="s">
        <v>140</v>
      </c>
      <c r="F77" s="563"/>
      <c r="G77" s="865">
        <v>11</v>
      </c>
      <c r="H77" s="890">
        <v>0.072</v>
      </c>
      <c r="I77" s="126"/>
      <c r="J77" s="104" t="s">
        <v>126</v>
      </c>
      <c r="K77" s="104" t="s">
        <v>112</v>
      </c>
      <c r="L77" s="119">
        <v>0.056808</v>
      </c>
      <c r="M77" s="103">
        <v>9.4</v>
      </c>
      <c r="N77" s="103">
        <v>0.5</v>
      </c>
      <c r="O77" s="118" t="s">
        <v>46</v>
      </c>
      <c r="P77" s="117">
        <v>0.624888</v>
      </c>
      <c r="Q77" s="214">
        <v>5.8739472</v>
      </c>
      <c r="R77" s="269">
        <v>0.312444</v>
      </c>
      <c r="S77" s="267" t="e">
        <v>#VALUE!</v>
      </c>
    </row>
    <row r="78" spans="1:19" ht="22.5">
      <c r="A78" s="863"/>
      <c r="B78" s="874"/>
      <c r="C78" s="872">
        <v>1107892</v>
      </c>
      <c r="D78" s="866"/>
      <c r="E78" s="866"/>
      <c r="F78" s="891" t="s">
        <v>141</v>
      </c>
      <c r="G78" s="866"/>
      <c r="H78" s="885"/>
      <c r="I78" s="913">
        <v>0.7</v>
      </c>
      <c r="J78" s="567" t="s">
        <v>125</v>
      </c>
      <c r="K78" s="567" t="s">
        <v>114</v>
      </c>
      <c r="L78" s="107">
        <v>4.2839999999999996E-05</v>
      </c>
      <c r="M78" s="491">
        <v>2.9</v>
      </c>
      <c r="N78" s="491">
        <v>0</v>
      </c>
      <c r="O78" s="492" t="s">
        <v>46</v>
      </c>
      <c r="P78" s="356">
        <v>0.00047123999999999994</v>
      </c>
      <c r="Q78" s="493">
        <v>0.0013665959999999999</v>
      </c>
      <c r="R78" s="494">
        <v>0</v>
      </c>
      <c r="S78" s="257" t="e">
        <v>#VALUE!</v>
      </c>
    </row>
    <row r="79" spans="1:19" ht="15">
      <c r="A79" s="863"/>
      <c r="B79" s="874"/>
      <c r="C79" s="874"/>
      <c r="D79" s="866"/>
      <c r="E79" s="866"/>
      <c r="F79" s="866"/>
      <c r="G79" s="866"/>
      <c r="H79" s="885"/>
      <c r="I79" s="914"/>
      <c r="J79" s="569" t="s">
        <v>119</v>
      </c>
      <c r="K79" s="569" t="s">
        <v>112</v>
      </c>
      <c r="L79" s="116">
        <v>0.047880504</v>
      </c>
      <c r="M79" s="155">
        <v>4.7</v>
      </c>
      <c r="N79" s="155">
        <v>0</v>
      </c>
      <c r="O79" s="105" t="s">
        <v>46</v>
      </c>
      <c r="P79" s="102">
        <v>0.526685544</v>
      </c>
      <c r="Q79" s="495">
        <v>2.4754220568000003</v>
      </c>
      <c r="R79" s="496">
        <v>0</v>
      </c>
      <c r="S79" s="258" t="e">
        <v>#VALUE!</v>
      </c>
    </row>
    <row r="80" spans="1:19" ht="15">
      <c r="A80" s="863"/>
      <c r="B80" s="874"/>
      <c r="C80" s="874"/>
      <c r="D80" s="866"/>
      <c r="E80" s="866"/>
      <c r="F80" s="866"/>
      <c r="G80" s="866"/>
      <c r="H80" s="885"/>
      <c r="I80" s="914"/>
      <c r="J80" s="569" t="s">
        <v>123</v>
      </c>
      <c r="K80" s="569" t="s">
        <v>112</v>
      </c>
      <c r="L80" s="116">
        <v>0.027786023999999993</v>
      </c>
      <c r="M80" s="155">
        <v>9.4</v>
      </c>
      <c r="N80" s="155">
        <v>0.5</v>
      </c>
      <c r="O80" s="105" t="s">
        <v>46</v>
      </c>
      <c r="P80" s="102">
        <v>0.30564626399999995</v>
      </c>
      <c r="Q80" s="495">
        <v>2.8730748815999996</v>
      </c>
      <c r="R80" s="496">
        <v>0.15282313199999997</v>
      </c>
      <c r="S80" s="258" t="e">
        <v>#VALUE!</v>
      </c>
    </row>
    <row r="81" spans="1:19" ht="15">
      <c r="A81" s="863"/>
      <c r="B81" s="874"/>
      <c r="C81" s="874"/>
      <c r="D81" s="866"/>
      <c r="E81" s="866"/>
      <c r="F81" s="866"/>
      <c r="G81" s="866"/>
      <c r="H81" s="885"/>
      <c r="I81" s="914"/>
      <c r="J81" s="569" t="s">
        <v>124</v>
      </c>
      <c r="K81" s="569" t="s">
        <v>112</v>
      </c>
      <c r="L81" s="116">
        <v>0.027786023999999993</v>
      </c>
      <c r="M81" s="155">
        <v>9.4</v>
      </c>
      <c r="N81" s="155">
        <v>0.5</v>
      </c>
      <c r="O81" s="105" t="s">
        <v>46</v>
      </c>
      <c r="P81" s="102">
        <v>0.30564626399999995</v>
      </c>
      <c r="Q81" s="495">
        <v>2.8730748815999996</v>
      </c>
      <c r="R81" s="496">
        <v>0.15282313199999997</v>
      </c>
      <c r="S81" s="258" t="e">
        <v>#VALUE!</v>
      </c>
    </row>
    <row r="82" spans="1:19" ht="15">
      <c r="A82" s="863"/>
      <c r="B82" s="873"/>
      <c r="C82" s="873"/>
      <c r="D82" s="866"/>
      <c r="E82" s="892"/>
      <c r="F82" s="892"/>
      <c r="G82" s="866"/>
      <c r="H82" s="878"/>
      <c r="I82" s="915"/>
      <c r="J82" s="568" t="s">
        <v>120</v>
      </c>
      <c r="K82" s="568" t="s">
        <v>114</v>
      </c>
      <c r="L82" s="296">
        <v>0.01422036</v>
      </c>
      <c r="M82" s="280">
        <v>2.9</v>
      </c>
      <c r="N82" s="280">
        <v>0</v>
      </c>
      <c r="O82" s="105" t="s">
        <v>46</v>
      </c>
      <c r="P82" s="121">
        <v>0.15642396</v>
      </c>
      <c r="Q82" s="554">
        <v>0.45362948399999997</v>
      </c>
      <c r="R82" s="555">
        <v>0</v>
      </c>
      <c r="S82" s="259" t="e">
        <v>#VALUE!</v>
      </c>
    </row>
    <row r="83" spans="1:19" ht="22.5">
      <c r="A83" s="863"/>
      <c r="B83" s="569"/>
      <c r="C83" s="569"/>
      <c r="D83" s="866"/>
      <c r="E83" s="564"/>
      <c r="F83" s="564"/>
      <c r="G83" s="866"/>
      <c r="H83" s="572"/>
      <c r="I83" s="577"/>
      <c r="J83" s="569" t="s">
        <v>159</v>
      </c>
      <c r="K83" s="569" t="s">
        <v>114</v>
      </c>
      <c r="L83" s="116">
        <v>0.0007</v>
      </c>
      <c r="M83" s="155">
        <v>125.5</v>
      </c>
      <c r="N83" s="155">
        <v>0</v>
      </c>
      <c r="O83" s="105"/>
      <c r="P83" s="356">
        <v>0.0077</v>
      </c>
      <c r="Q83" s="493">
        <v>0.96635</v>
      </c>
      <c r="R83" s="494">
        <v>0</v>
      </c>
      <c r="S83" s="262"/>
    </row>
    <row r="84" spans="1:19" ht="22.5">
      <c r="A84" s="863"/>
      <c r="B84" s="569"/>
      <c r="C84" s="569"/>
      <c r="D84" s="866"/>
      <c r="E84" s="564"/>
      <c r="F84" s="564"/>
      <c r="G84" s="866"/>
      <c r="H84" s="572"/>
      <c r="I84" s="577"/>
      <c r="J84" s="569" t="s">
        <v>160</v>
      </c>
      <c r="K84" s="569" t="s">
        <v>114</v>
      </c>
      <c r="L84" s="116">
        <v>0.0192</v>
      </c>
      <c r="M84" s="155">
        <v>125.5</v>
      </c>
      <c r="N84" s="155">
        <v>0</v>
      </c>
      <c r="O84" s="105"/>
      <c r="P84" s="102">
        <v>0.21119999999999997</v>
      </c>
      <c r="Q84" s="495">
        <v>26.505599999999998</v>
      </c>
      <c r="R84" s="496">
        <v>0</v>
      </c>
      <c r="S84" s="262"/>
    </row>
    <row r="85" spans="1:19" ht="15.75" thickBot="1">
      <c r="A85" s="864"/>
      <c r="B85" s="570"/>
      <c r="C85" s="570"/>
      <c r="D85" s="867"/>
      <c r="E85" s="565"/>
      <c r="F85" s="565"/>
      <c r="G85" s="867"/>
      <c r="H85" s="573"/>
      <c r="I85" s="354"/>
      <c r="J85" s="570" t="s">
        <v>161</v>
      </c>
      <c r="K85" s="570" t="s">
        <v>114</v>
      </c>
      <c r="L85" s="295">
        <v>0.00035</v>
      </c>
      <c r="M85" s="233">
        <v>125.5</v>
      </c>
      <c r="N85" s="233">
        <v>0</v>
      </c>
      <c r="O85" s="355"/>
      <c r="P85" s="115">
        <v>0.00385</v>
      </c>
      <c r="Q85" s="497">
        <v>0.483175</v>
      </c>
      <c r="R85" s="498">
        <v>0</v>
      </c>
      <c r="S85" s="262"/>
    </row>
    <row r="86" spans="1:19" ht="15">
      <c r="A86" s="862">
        <v>5213401</v>
      </c>
      <c r="B86" s="574"/>
      <c r="C86" s="574"/>
      <c r="D86" s="865" t="s">
        <v>142</v>
      </c>
      <c r="E86" s="351"/>
      <c r="F86" s="351"/>
      <c r="G86" s="865">
        <v>118.26</v>
      </c>
      <c r="H86" s="574"/>
      <c r="I86" s="574"/>
      <c r="J86" s="574" t="s">
        <v>136</v>
      </c>
      <c r="K86" s="574" t="s">
        <v>114</v>
      </c>
      <c r="L86" s="98">
        <v>0.00012</v>
      </c>
      <c r="M86" s="211">
        <v>125.5</v>
      </c>
      <c r="N86" s="211">
        <v>0</v>
      </c>
      <c r="O86" s="211" t="s">
        <v>46</v>
      </c>
      <c r="P86" s="98">
        <v>0.014191200000000001</v>
      </c>
      <c r="Q86" s="98">
        <v>1.7809956000000002</v>
      </c>
      <c r="R86" s="149">
        <v>0</v>
      </c>
      <c r="S86" s="264" t="e">
        <v>#VALUE!</v>
      </c>
    </row>
    <row r="87" spans="1:19" ht="15">
      <c r="A87" s="863"/>
      <c r="B87" s="569"/>
      <c r="C87" s="569"/>
      <c r="D87" s="866"/>
      <c r="E87" s="352"/>
      <c r="F87" s="352"/>
      <c r="G87" s="866"/>
      <c r="H87" s="569"/>
      <c r="I87" s="569"/>
      <c r="J87" s="569" t="s">
        <v>137</v>
      </c>
      <c r="K87" s="569" t="s">
        <v>114</v>
      </c>
      <c r="L87" s="102">
        <v>0.00035</v>
      </c>
      <c r="M87" s="155">
        <v>125.5</v>
      </c>
      <c r="N87" s="155">
        <v>0</v>
      </c>
      <c r="O87" s="155" t="s">
        <v>46</v>
      </c>
      <c r="P87" s="102">
        <v>0.041391000000000004</v>
      </c>
      <c r="Q87" s="102">
        <v>5.1945705</v>
      </c>
      <c r="R87" s="151">
        <v>0</v>
      </c>
      <c r="S87" s="152" t="e">
        <v>#VALUE!</v>
      </c>
    </row>
    <row r="88" spans="1:19" ht="15">
      <c r="A88" s="863"/>
      <c r="B88" s="569"/>
      <c r="C88" s="569"/>
      <c r="D88" s="866"/>
      <c r="E88" s="352"/>
      <c r="F88" s="352"/>
      <c r="G88" s="866"/>
      <c r="H88" s="569"/>
      <c r="I88" s="569"/>
      <c r="J88" s="569" t="s">
        <v>138</v>
      </c>
      <c r="K88" s="569" t="s">
        <v>114</v>
      </c>
      <c r="L88" s="102">
        <v>3E-05</v>
      </c>
      <c r="M88" s="155">
        <v>125.5</v>
      </c>
      <c r="N88" s="155">
        <v>0</v>
      </c>
      <c r="O88" s="155" t="s">
        <v>46</v>
      </c>
      <c r="P88" s="102">
        <v>0.0035478000000000003</v>
      </c>
      <c r="Q88" s="102">
        <v>0.44524890000000006</v>
      </c>
      <c r="R88" s="151">
        <v>0</v>
      </c>
      <c r="S88" s="252" t="e">
        <v>#VALUE!</v>
      </c>
    </row>
    <row r="89" spans="1:19" ht="15.75" thickBot="1">
      <c r="A89" s="864"/>
      <c r="B89" s="570"/>
      <c r="C89" s="570"/>
      <c r="D89" s="867"/>
      <c r="E89" s="565"/>
      <c r="F89" s="353"/>
      <c r="G89" s="867"/>
      <c r="H89" s="570"/>
      <c r="I89" s="570"/>
      <c r="J89" s="570" t="s">
        <v>139</v>
      </c>
      <c r="K89" s="570" t="s">
        <v>114</v>
      </c>
      <c r="L89" s="115">
        <v>0.00083</v>
      </c>
      <c r="M89" s="233">
        <v>125.5</v>
      </c>
      <c r="N89" s="233">
        <v>0</v>
      </c>
      <c r="O89" s="233" t="s">
        <v>46</v>
      </c>
      <c r="P89" s="115">
        <v>0.0981558</v>
      </c>
      <c r="Q89" s="115">
        <v>12.3185529</v>
      </c>
      <c r="R89" s="154">
        <v>0</v>
      </c>
      <c r="S89" s="253" t="e">
        <v>#VALUE!</v>
      </c>
    </row>
    <row r="90" spans="1:19" ht="15">
      <c r="A90" s="862">
        <v>5213405</v>
      </c>
      <c r="B90" s="574"/>
      <c r="C90" s="574"/>
      <c r="D90" s="865" t="s">
        <v>494</v>
      </c>
      <c r="E90" s="352"/>
      <c r="F90" s="352"/>
      <c r="G90" s="865">
        <v>35.5</v>
      </c>
      <c r="H90" s="569"/>
      <c r="I90" s="569"/>
      <c r="J90" s="569" t="s">
        <v>136</v>
      </c>
      <c r="K90" s="569" t="s">
        <v>117</v>
      </c>
      <c r="L90" s="102">
        <v>0.00012</v>
      </c>
      <c r="M90" s="155">
        <v>125.5</v>
      </c>
      <c r="N90" s="155">
        <v>0</v>
      </c>
      <c r="O90" s="155"/>
      <c r="P90" s="102">
        <v>0.00426</v>
      </c>
      <c r="Q90" s="102">
        <v>0.5346299999999999</v>
      </c>
      <c r="R90" s="151">
        <v>0</v>
      </c>
      <c r="S90" s="153">
        <v>0</v>
      </c>
    </row>
    <row r="91" spans="1:19" ht="15">
      <c r="A91" s="863"/>
      <c r="B91" s="569"/>
      <c r="C91" s="569"/>
      <c r="D91" s="866"/>
      <c r="E91" s="352"/>
      <c r="F91" s="352"/>
      <c r="G91" s="866"/>
      <c r="H91" s="569"/>
      <c r="I91" s="569"/>
      <c r="J91" s="569" t="s">
        <v>137</v>
      </c>
      <c r="K91" s="569" t="s">
        <v>117</v>
      </c>
      <c r="L91" s="102">
        <v>0.00035</v>
      </c>
      <c r="M91" s="155">
        <v>125.5</v>
      </c>
      <c r="N91" s="155">
        <v>0</v>
      </c>
      <c r="O91" s="155"/>
      <c r="P91" s="102">
        <v>0.012425</v>
      </c>
      <c r="Q91" s="102">
        <v>1.5593375</v>
      </c>
      <c r="R91" s="151">
        <v>0</v>
      </c>
      <c r="S91" s="153">
        <v>0</v>
      </c>
    </row>
    <row r="92" spans="1:19" ht="15">
      <c r="A92" s="863"/>
      <c r="B92" s="569"/>
      <c r="C92" s="569"/>
      <c r="D92" s="866"/>
      <c r="E92" s="352"/>
      <c r="F92" s="352"/>
      <c r="G92" s="866"/>
      <c r="H92" s="569"/>
      <c r="I92" s="569"/>
      <c r="J92" s="569" t="s">
        <v>138</v>
      </c>
      <c r="K92" s="569" t="s">
        <v>117</v>
      </c>
      <c r="L92" s="102">
        <v>3E-05</v>
      </c>
      <c r="M92" s="155">
        <v>125.5</v>
      </c>
      <c r="N92" s="155">
        <v>0</v>
      </c>
      <c r="O92" s="155"/>
      <c r="P92" s="102">
        <v>0.001065</v>
      </c>
      <c r="Q92" s="102">
        <v>0.13365749999999998</v>
      </c>
      <c r="R92" s="151">
        <v>0</v>
      </c>
      <c r="S92" s="153">
        <v>0</v>
      </c>
    </row>
    <row r="93" spans="1:19" ht="15.75" thickBot="1">
      <c r="A93" s="864"/>
      <c r="B93" s="570"/>
      <c r="C93" s="570"/>
      <c r="D93" s="867"/>
      <c r="E93" s="565"/>
      <c r="F93" s="353"/>
      <c r="G93" s="867"/>
      <c r="H93" s="570"/>
      <c r="I93" s="570"/>
      <c r="J93" s="570" t="s">
        <v>139</v>
      </c>
      <c r="K93" s="570" t="s">
        <v>117</v>
      </c>
      <c r="L93" s="115">
        <v>0.00083</v>
      </c>
      <c r="M93" s="233">
        <v>125.5</v>
      </c>
      <c r="N93" s="233">
        <v>0</v>
      </c>
      <c r="O93" s="233"/>
      <c r="P93" s="115">
        <v>0.029465</v>
      </c>
      <c r="Q93" s="115">
        <v>3.6978575</v>
      </c>
      <c r="R93" s="154">
        <v>0</v>
      </c>
      <c r="S93" s="265">
        <v>0</v>
      </c>
    </row>
    <row r="94" spans="1:19" ht="15">
      <c r="A94" s="868">
        <v>5213362</v>
      </c>
      <c r="B94" s="569"/>
      <c r="C94" s="569"/>
      <c r="D94" s="870" t="s">
        <v>495</v>
      </c>
      <c r="E94" s="352"/>
      <c r="F94" s="352"/>
      <c r="G94" s="870">
        <v>14</v>
      </c>
      <c r="H94" s="569"/>
      <c r="I94" s="569"/>
      <c r="J94" s="569" t="s">
        <v>496</v>
      </c>
      <c r="K94" s="569" t="s">
        <v>114</v>
      </c>
      <c r="L94" s="102">
        <v>0.0011</v>
      </c>
      <c r="M94" s="155">
        <v>125.5</v>
      </c>
      <c r="N94" s="155">
        <v>0</v>
      </c>
      <c r="O94" s="155"/>
      <c r="P94" s="102">
        <v>0.0154</v>
      </c>
      <c r="Q94" s="102">
        <v>1.9327</v>
      </c>
      <c r="R94" s="151">
        <v>0</v>
      </c>
      <c r="S94" s="153">
        <v>0</v>
      </c>
    </row>
    <row r="95" spans="1:19" ht="15.75" thickBot="1">
      <c r="A95" s="869"/>
      <c r="B95" s="569"/>
      <c r="C95" s="569"/>
      <c r="D95" s="871"/>
      <c r="E95" s="352"/>
      <c r="F95" s="352"/>
      <c r="G95" s="871"/>
      <c r="H95" s="569"/>
      <c r="I95" s="569"/>
      <c r="J95" s="569" t="s">
        <v>316</v>
      </c>
      <c r="K95" s="569" t="s">
        <v>114</v>
      </c>
      <c r="L95" s="102">
        <v>0.00022</v>
      </c>
      <c r="M95" s="155">
        <v>125.5</v>
      </c>
      <c r="N95" s="155">
        <v>0</v>
      </c>
      <c r="O95" s="155"/>
      <c r="P95" s="102">
        <v>0.0030800000000000003</v>
      </c>
      <c r="Q95" s="102">
        <v>0.38654000000000005</v>
      </c>
      <c r="R95" s="151">
        <v>0</v>
      </c>
      <c r="S95" s="153">
        <v>0</v>
      </c>
    </row>
    <row r="96" spans="1:20" ht="15">
      <c r="A96" s="893" t="s">
        <v>115</v>
      </c>
      <c r="B96" s="894"/>
      <c r="C96" s="894"/>
      <c r="D96" s="894"/>
      <c r="E96" s="894"/>
      <c r="F96" s="894"/>
      <c r="G96" s="894"/>
      <c r="H96" s="894"/>
      <c r="I96" s="894"/>
      <c r="J96" s="895"/>
      <c r="K96" s="899" t="s">
        <v>116</v>
      </c>
      <c r="L96" s="900"/>
      <c r="M96" s="900"/>
      <c r="N96" s="900"/>
      <c r="O96" s="900"/>
      <c r="P96" s="901"/>
      <c r="Q96" s="224">
        <v>14.095519019999998</v>
      </c>
      <c r="R96" s="254">
        <v>0.6180902639999999</v>
      </c>
      <c r="S96" s="260">
        <v>0</v>
      </c>
      <c r="T96" s="147" t="s">
        <v>116</v>
      </c>
    </row>
    <row r="97" spans="1:20" ht="15.75" thickBot="1">
      <c r="A97" s="896"/>
      <c r="B97" s="897"/>
      <c r="C97" s="897"/>
      <c r="D97" s="897"/>
      <c r="E97" s="897"/>
      <c r="F97" s="897"/>
      <c r="G97" s="897"/>
      <c r="H97" s="897"/>
      <c r="I97" s="897"/>
      <c r="J97" s="898"/>
      <c r="K97" s="902" t="s">
        <v>117</v>
      </c>
      <c r="L97" s="903"/>
      <c r="M97" s="903"/>
      <c r="N97" s="903"/>
      <c r="O97" s="903"/>
      <c r="P97" s="904"/>
      <c r="Q97" s="215">
        <v>61.09227887999999</v>
      </c>
      <c r="R97" s="261">
        <v>0</v>
      </c>
      <c r="S97" s="260">
        <v>0</v>
      </c>
      <c r="T97" s="147" t="s">
        <v>117</v>
      </c>
    </row>
    <row r="98" spans="1:20" ht="15.75" thickBot="1">
      <c r="A98" s="108" t="s">
        <v>193</v>
      </c>
      <c r="B98" s="244"/>
      <c r="C98" s="244"/>
      <c r="D98" s="244"/>
      <c r="E98" s="244"/>
      <c r="F98" s="244"/>
      <c r="G98" s="244"/>
      <c r="H98" s="245"/>
      <c r="I98" s="244"/>
      <c r="J98" s="244"/>
      <c r="K98" s="244"/>
      <c r="L98" s="246"/>
      <c r="M98" s="247"/>
      <c r="N98" s="247"/>
      <c r="O98" s="247"/>
      <c r="P98" s="248"/>
      <c r="Q98" s="249"/>
      <c r="R98" s="250"/>
      <c r="S98" s="150"/>
      <c r="T98" s="147"/>
    </row>
    <row r="99" spans="1:19" ht="15">
      <c r="A99" s="862">
        <v>130112</v>
      </c>
      <c r="B99" s="574"/>
      <c r="C99" s="574"/>
      <c r="D99" s="865" t="s">
        <v>497</v>
      </c>
      <c r="E99" s="351"/>
      <c r="F99" s="351"/>
      <c r="G99" s="865">
        <v>646.3499999999999</v>
      </c>
      <c r="H99" s="574"/>
      <c r="I99" s="574"/>
      <c r="J99" s="574" t="s">
        <v>119</v>
      </c>
      <c r="K99" s="574" t="s">
        <v>112</v>
      </c>
      <c r="L99" s="98">
        <v>0.07021350000000001</v>
      </c>
      <c r="M99" s="211">
        <v>4.7</v>
      </c>
      <c r="N99" s="211">
        <v>0</v>
      </c>
      <c r="O99" s="211"/>
      <c r="P99" s="102">
        <v>45.382495725</v>
      </c>
      <c r="Q99" s="102">
        <v>213.2977299075</v>
      </c>
      <c r="R99" s="151">
        <v>0</v>
      </c>
      <c r="S99" s="153">
        <v>0</v>
      </c>
    </row>
    <row r="100" spans="1:19" ht="15">
      <c r="A100" s="863"/>
      <c r="B100" s="569"/>
      <c r="C100" s="569"/>
      <c r="D100" s="866"/>
      <c r="E100" s="352"/>
      <c r="F100" s="352"/>
      <c r="G100" s="866"/>
      <c r="H100" s="569"/>
      <c r="I100" s="569"/>
      <c r="J100" s="569" t="s">
        <v>498</v>
      </c>
      <c r="K100" s="569" t="s">
        <v>114</v>
      </c>
      <c r="L100" s="102">
        <v>0.016443000000000003</v>
      </c>
      <c r="M100" s="155">
        <v>2.9</v>
      </c>
      <c r="N100" s="155">
        <v>0</v>
      </c>
      <c r="O100" s="155"/>
      <c r="P100" s="102">
        <v>10.627933050000001</v>
      </c>
      <c r="Q100" s="102">
        <v>30.821005845000002</v>
      </c>
      <c r="R100" s="151">
        <v>0</v>
      </c>
      <c r="S100" s="153">
        <v>0</v>
      </c>
    </row>
    <row r="101" spans="1:19" ht="15">
      <c r="A101" s="863"/>
      <c r="B101" s="569"/>
      <c r="C101" s="569"/>
      <c r="D101" s="866"/>
      <c r="E101" s="352"/>
      <c r="F101" s="352"/>
      <c r="G101" s="866"/>
      <c r="H101" s="569"/>
      <c r="I101" s="569"/>
      <c r="J101" s="569" t="s">
        <v>123</v>
      </c>
      <c r="K101" s="569" t="s">
        <v>112</v>
      </c>
      <c r="L101" s="102">
        <v>0.03591</v>
      </c>
      <c r="M101" s="155">
        <v>9.4</v>
      </c>
      <c r="N101" s="155">
        <v>0.5</v>
      </c>
      <c r="O101" s="155"/>
      <c r="P101" s="102">
        <v>23.210428499999995</v>
      </c>
      <c r="Q101" s="102">
        <v>218.17802789999996</v>
      </c>
      <c r="R101" s="151">
        <v>11.605214249999998</v>
      </c>
      <c r="S101" s="153">
        <v>0</v>
      </c>
    </row>
    <row r="102" spans="1:19" ht="15.75" thickBot="1">
      <c r="A102" s="864"/>
      <c r="B102" s="570"/>
      <c r="C102" s="570"/>
      <c r="D102" s="867"/>
      <c r="E102" s="565"/>
      <c r="F102" s="353"/>
      <c r="G102" s="867"/>
      <c r="H102" s="570"/>
      <c r="I102" s="570"/>
      <c r="J102" s="570" t="s">
        <v>124</v>
      </c>
      <c r="K102" s="570" t="s">
        <v>112</v>
      </c>
      <c r="L102" s="115">
        <v>0.03591</v>
      </c>
      <c r="M102" s="233">
        <v>9.4</v>
      </c>
      <c r="N102" s="233">
        <v>0.5</v>
      </c>
      <c r="O102" s="233"/>
      <c r="P102" s="115">
        <v>23.210428499999995</v>
      </c>
      <c r="Q102" s="115">
        <v>218.17802789999996</v>
      </c>
      <c r="R102" s="154">
        <v>11.605214249999998</v>
      </c>
      <c r="S102" s="265">
        <v>0</v>
      </c>
    </row>
    <row r="103" spans="1:19" ht="15">
      <c r="A103" s="862">
        <v>130210</v>
      </c>
      <c r="B103" s="574"/>
      <c r="C103" s="574"/>
      <c r="D103" s="865" t="s">
        <v>499</v>
      </c>
      <c r="E103" s="351"/>
      <c r="F103" s="351"/>
      <c r="G103" s="865">
        <v>514.8</v>
      </c>
      <c r="H103" s="574"/>
      <c r="I103" s="574"/>
      <c r="J103" s="574" t="s">
        <v>119</v>
      </c>
      <c r="K103" s="574" t="s">
        <v>112</v>
      </c>
      <c r="L103" s="98">
        <v>0.0273</v>
      </c>
      <c r="M103" s="211">
        <v>4.7</v>
      </c>
      <c r="N103" s="211">
        <v>0</v>
      </c>
      <c r="O103" s="211"/>
      <c r="P103" s="102">
        <v>14.054039999999999</v>
      </c>
      <c r="Q103" s="102">
        <v>66.05398799999999</v>
      </c>
      <c r="R103" s="151">
        <v>0</v>
      </c>
      <c r="S103" s="153">
        <v>0</v>
      </c>
    </row>
    <row r="104" spans="1:19" ht="15">
      <c r="A104" s="863"/>
      <c r="B104" s="569"/>
      <c r="C104" s="569"/>
      <c r="D104" s="866"/>
      <c r="E104" s="352"/>
      <c r="F104" s="352"/>
      <c r="G104" s="866"/>
      <c r="H104" s="569"/>
      <c r="I104" s="569"/>
      <c r="J104" s="569" t="s">
        <v>498</v>
      </c>
      <c r="K104" s="569" t="s">
        <v>114</v>
      </c>
      <c r="L104" s="102">
        <v>0.00729</v>
      </c>
      <c r="M104" s="155">
        <v>2.9</v>
      </c>
      <c r="N104" s="155">
        <v>0</v>
      </c>
      <c r="O104" s="155"/>
      <c r="P104" s="102">
        <v>3.7528919999999997</v>
      </c>
      <c r="Q104" s="102">
        <v>10.883386799999998</v>
      </c>
      <c r="R104" s="151">
        <v>0</v>
      </c>
      <c r="S104" s="153">
        <v>0</v>
      </c>
    </row>
    <row r="105" spans="1:19" ht="23.25" thickBot="1">
      <c r="A105" s="863"/>
      <c r="B105" s="569"/>
      <c r="C105" s="569"/>
      <c r="D105" s="866"/>
      <c r="E105" s="352"/>
      <c r="F105" s="352"/>
      <c r="G105" s="866"/>
      <c r="H105" s="569"/>
      <c r="I105" s="569"/>
      <c r="J105" s="569" t="s">
        <v>500</v>
      </c>
      <c r="K105" s="569" t="s">
        <v>114</v>
      </c>
      <c r="L105" s="102">
        <v>0.0002</v>
      </c>
      <c r="M105" s="155">
        <v>2.9</v>
      </c>
      <c r="N105" s="155">
        <v>0</v>
      </c>
      <c r="O105" s="155"/>
      <c r="P105" s="102">
        <v>0.10296</v>
      </c>
      <c r="Q105" s="102">
        <v>0.29858399999999996</v>
      </c>
      <c r="R105" s="151">
        <v>0</v>
      </c>
      <c r="S105" s="153">
        <v>0</v>
      </c>
    </row>
    <row r="106" spans="1:19" ht="19.5" customHeight="1">
      <c r="A106" s="862">
        <v>130202</v>
      </c>
      <c r="B106" s="574"/>
      <c r="C106" s="574"/>
      <c r="D106" s="865" t="s">
        <v>501</v>
      </c>
      <c r="E106" s="351"/>
      <c r="F106" s="351"/>
      <c r="G106" s="865">
        <v>131.55</v>
      </c>
      <c r="H106" s="574"/>
      <c r="I106" s="574"/>
      <c r="J106" s="574" t="s">
        <v>119</v>
      </c>
      <c r="K106" s="574" t="s">
        <v>112</v>
      </c>
      <c r="L106" s="98">
        <v>0.0273</v>
      </c>
      <c r="M106" s="211">
        <v>4.7</v>
      </c>
      <c r="N106" s="211">
        <v>0</v>
      </c>
      <c r="O106" s="211"/>
      <c r="P106" s="98">
        <v>3.5913150000000007</v>
      </c>
      <c r="Q106" s="98">
        <v>16.879180500000004</v>
      </c>
      <c r="R106" s="149">
        <v>0</v>
      </c>
      <c r="S106" s="153">
        <v>0</v>
      </c>
    </row>
    <row r="107" spans="1:19" ht="19.5" customHeight="1" thickBot="1">
      <c r="A107" s="864"/>
      <c r="B107" s="570"/>
      <c r="C107" s="570"/>
      <c r="D107" s="867"/>
      <c r="E107" s="353"/>
      <c r="F107" s="353"/>
      <c r="G107" s="867"/>
      <c r="H107" s="570"/>
      <c r="I107" s="570"/>
      <c r="J107" s="570" t="s">
        <v>498</v>
      </c>
      <c r="K107" s="570" t="s">
        <v>114</v>
      </c>
      <c r="L107" s="115">
        <v>0.00729</v>
      </c>
      <c r="M107" s="233">
        <v>2.9</v>
      </c>
      <c r="N107" s="233">
        <v>0</v>
      </c>
      <c r="O107" s="233"/>
      <c r="P107" s="115">
        <v>0.9589995</v>
      </c>
      <c r="Q107" s="115">
        <v>2.78109855</v>
      </c>
      <c r="R107" s="154">
        <v>0</v>
      </c>
      <c r="S107" s="153">
        <v>0</v>
      </c>
    </row>
    <row r="108" spans="1:19" ht="19.5" customHeight="1">
      <c r="A108" s="862">
        <v>40946</v>
      </c>
      <c r="B108" s="574"/>
      <c r="C108" s="574"/>
      <c r="D108" s="865" t="s">
        <v>505</v>
      </c>
      <c r="E108" s="351"/>
      <c r="F108" s="351"/>
      <c r="G108" s="865">
        <v>117.58</v>
      </c>
      <c r="H108" s="574"/>
      <c r="I108" s="574"/>
      <c r="J108" s="574" t="s">
        <v>506</v>
      </c>
      <c r="K108" s="574" t="s">
        <v>112</v>
      </c>
      <c r="L108" s="98">
        <v>0.08</v>
      </c>
      <c r="M108" s="211">
        <v>4.7</v>
      </c>
      <c r="N108" s="211">
        <v>0</v>
      </c>
      <c r="O108" s="211"/>
      <c r="P108" s="98">
        <v>9.4064</v>
      </c>
      <c r="Q108" s="98">
        <v>44.21008</v>
      </c>
      <c r="R108" s="149">
        <v>0</v>
      </c>
      <c r="S108" s="153">
        <v>0</v>
      </c>
    </row>
    <row r="109" spans="1:19" ht="19.5" customHeight="1" thickBot="1">
      <c r="A109" s="864"/>
      <c r="B109" s="570"/>
      <c r="C109" s="570"/>
      <c r="D109" s="867"/>
      <c r="E109" s="353"/>
      <c r="F109" s="353"/>
      <c r="G109" s="867"/>
      <c r="H109" s="570"/>
      <c r="I109" s="570"/>
      <c r="J109" s="570" t="s">
        <v>507</v>
      </c>
      <c r="K109" s="570" t="s">
        <v>114</v>
      </c>
      <c r="L109" s="115">
        <v>0.144</v>
      </c>
      <c r="M109" s="233">
        <v>2.9</v>
      </c>
      <c r="N109" s="233">
        <v>0</v>
      </c>
      <c r="O109" s="233"/>
      <c r="P109" s="115">
        <v>16.93152</v>
      </c>
      <c r="Q109" s="115">
        <v>49.10140799999999</v>
      </c>
      <c r="R109" s="154">
        <v>0</v>
      </c>
      <c r="S109" s="153">
        <v>0</v>
      </c>
    </row>
    <row r="110" spans="1:19" ht="15">
      <c r="A110" s="862">
        <v>40915</v>
      </c>
      <c r="B110" s="574"/>
      <c r="C110" s="574"/>
      <c r="D110" s="882" t="s">
        <v>508</v>
      </c>
      <c r="E110" s="574"/>
      <c r="F110" s="282"/>
      <c r="G110" s="865">
        <v>142.4</v>
      </c>
      <c r="H110" s="575"/>
      <c r="I110" s="574"/>
      <c r="J110" s="104" t="s">
        <v>183</v>
      </c>
      <c r="K110" s="104" t="s">
        <v>112</v>
      </c>
      <c r="L110" s="117">
        <v>0.06</v>
      </c>
      <c r="M110" s="103">
        <v>9.4</v>
      </c>
      <c r="N110" s="103">
        <v>0.5</v>
      </c>
      <c r="O110" s="103"/>
      <c r="P110" s="117">
        <v>8.544</v>
      </c>
      <c r="Q110" s="117">
        <v>80.31360000000001</v>
      </c>
      <c r="R110" s="277">
        <v>4.272</v>
      </c>
      <c r="S110" s="266">
        <v>0</v>
      </c>
    </row>
    <row r="111" spans="1:19" ht="15">
      <c r="A111" s="863"/>
      <c r="B111" s="872">
        <v>40348</v>
      </c>
      <c r="C111" s="569"/>
      <c r="D111" s="883"/>
      <c r="E111" s="872" t="s">
        <v>179</v>
      </c>
      <c r="F111" s="279"/>
      <c r="G111" s="866"/>
      <c r="H111" s="877">
        <v>0.02</v>
      </c>
      <c r="I111" s="569"/>
      <c r="J111" s="569" t="s">
        <v>180</v>
      </c>
      <c r="K111" s="569" t="s">
        <v>112</v>
      </c>
      <c r="L111" s="102">
        <v>0.03621</v>
      </c>
      <c r="M111" s="155">
        <v>4.7</v>
      </c>
      <c r="N111" s="155">
        <v>0</v>
      </c>
      <c r="O111" s="155"/>
      <c r="P111" s="102">
        <v>5.156304</v>
      </c>
      <c r="Q111" s="102">
        <v>24.234628800000003</v>
      </c>
      <c r="R111" s="151">
        <v>0</v>
      </c>
      <c r="S111" s="153">
        <v>0</v>
      </c>
    </row>
    <row r="112" spans="1:19" ht="15">
      <c r="A112" s="863"/>
      <c r="B112" s="873"/>
      <c r="C112" s="569"/>
      <c r="D112" s="883"/>
      <c r="E112" s="873"/>
      <c r="F112" s="279"/>
      <c r="G112" s="866"/>
      <c r="H112" s="878"/>
      <c r="I112" s="569"/>
      <c r="J112" s="568" t="s">
        <v>181</v>
      </c>
      <c r="K112" s="568" t="s">
        <v>114</v>
      </c>
      <c r="L112" s="121">
        <v>0.00735</v>
      </c>
      <c r="M112" s="280">
        <v>2.9</v>
      </c>
      <c r="N112" s="280">
        <v>0</v>
      </c>
      <c r="O112" s="280"/>
      <c r="P112" s="121">
        <v>1.04664</v>
      </c>
      <c r="Q112" s="121">
        <v>3.035256</v>
      </c>
      <c r="R112" s="234">
        <v>0</v>
      </c>
      <c r="S112" s="266">
        <v>0</v>
      </c>
    </row>
    <row r="113" spans="1:19" ht="15">
      <c r="A113" s="863"/>
      <c r="B113" s="872">
        <v>40358</v>
      </c>
      <c r="C113" s="569"/>
      <c r="D113" s="883"/>
      <c r="E113" s="876" t="s">
        <v>184</v>
      </c>
      <c r="F113" s="279"/>
      <c r="G113" s="866"/>
      <c r="H113" s="879">
        <v>0.08</v>
      </c>
      <c r="I113" s="569"/>
      <c r="J113" s="569" t="s">
        <v>180</v>
      </c>
      <c r="K113" s="569" t="s">
        <v>112</v>
      </c>
      <c r="L113" s="102">
        <v>0.07736799999999999</v>
      </c>
      <c r="M113" s="155">
        <v>4.7</v>
      </c>
      <c r="N113" s="155">
        <v>0</v>
      </c>
      <c r="O113" s="155"/>
      <c r="P113" s="102">
        <v>11.017203199999999</v>
      </c>
      <c r="Q113" s="102">
        <v>51.78085504</v>
      </c>
      <c r="R113" s="151">
        <v>0</v>
      </c>
      <c r="S113" s="153">
        <v>0</v>
      </c>
    </row>
    <row r="114" spans="1:19" ht="15">
      <c r="A114" s="863"/>
      <c r="B114" s="874"/>
      <c r="C114" s="569"/>
      <c r="D114" s="883"/>
      <c r="E114" s="874"/>
      <c r="F114" s="279"/>
      <c r="G114" s="866"/>
      <c r="H114" s="880"/>
      <c r="I114" s="569"/>
      <c r="J114" s="569" t="s">
        <v>181</v>
      </c>
      <c r="K114" s="569" t="s">
        <v>114</v>
      </c>
      <c r="L114" s="102">
        <v>0.02856</v>
      </c>
      <c r="M114" s="155">
        <v>2.9</v>
      </c>
      <c r="N114" s="155">
        <v>0</v>
      </c>
      <c r="O114" s="155"/>
      <c r="P114" s="102">
        <v>4.066944</v>
      </c>
      <c r="Q114" s="102">
        <v>11.7941376</v>
      </c>
      <c r="R114" s="151">
        <v>0</v>
      </c>
      <c r="S114" s="153">
        <v>0</v>
      </c>
    </row>
    <row r="115" spans="1:19" ht="15.75" thickBot="1">
      <c r="A115" s="864"/>
      <c r="B115" s="875"/>
      <c r="C115" s="570"/>
      <c r="D115" s="884"/>
      <c r="E115" s="875"/>
      <c r="F115" s="281"/>
      <c r="G115" s="867"/>
      <c r="H115" s="881"/>
      <c r="I115" s="570"/>
      <c r="J115" s="570" t="s">
        <v>185</v>
      </c>
      <c r="K115" s="570" t="s">
        <v>112</v>
      </c>
      <c r="L115" s="115">
        <v>0.09324</v>
      </c>
      <c r="M115" s="233">
        <v>9.4</v>
      </c>
      <c r="N115" s="233">
        <v>0.5</v>
      </c>
      <c r="O115" s="233"/>
      <c r="P115" s="115">
        <v>13.277376</v>
      </c>
      <c r="Q115" s="115">
        <v>124.8073344</v>
      </c>
      <c r="R115" s="154">
        <v>6.638688</v>
      </c>
      <c r="S115" s="265">
        <v>0</v>
      </c>
    </row>
    <row r="116" spans="1:19" ht="15">
      <c r="A116" s="863">
        <v>40912</v>
      </c>
      <c r="B116" s="569"/>
      <c r="C116" s="569"/>
      <c r="D116" s="874" t="s">
        <v>509</v>
      </c>
      <c r="E116" s="569"/>
      <c r="F116" s="279"/>
      <c r="G116" s="866">
        <v>42.5</v>
      </c>
      <c r="H116" s="571"/>
      <c r="I116" s="569"/>
      <c r="J116" s="568" t="s">
        <v>510</v>
      </c>
      <c r="K116" s="568" t="s">
        <v>112</v>
      </c>
      <c r="L116" s="121">
        <v>0.062</v>
      </c>
      <c r="M116" s="280">
        <v>2.9</v>
      </c>
      <c r="N116" s="280">
        <v>0</v>
      </c>
      <c r="O116" s="280"/>
      <c r="P116" s="121">
        <v>2.635</v>
      </c>
      <c r="Q116" s="121">
        <v>7.641499999999999</v>
      </c>
      <c r="R116" s="234">
        <v>0</v>
      </c>
      <c r="S116" s="267">
        <v>0</v>
      </c>
    </row>
    <row r="117" spans="1:19" ht="15">
      <c r="A117" s="863"/>
      <c r="B117" s="872">
        <v>40348</v>
      </c>
      <c r="C117" s="569"/>
      <c r="D117" s="874"/>
      <c r="E117" s="872" t="s">
        <v>179</v>
      </c>
      <c r="F117" s="279"/>
      <c r="G117" s="866"/>
      <c r="H117" s="885">
        <v>0.013</v>
      </c>
      <c r="I117" s="569"/>
      <c r="J117" s="569" t="s">
        <v>180</v>
      </c>
      <c r="K117" s="569" t="s">
        <v>112</v>
      </c>
      <c r="L117" s="102">
        <v>0.0235365</v>
      </c>
      <c r="M117" s="155">
        <v>4.7</v>
      </c>
      <c r="N117" s="155">
        <v>0</v>
      </c>
      <c r="O117" s="155"/>
      <c r="P117" s="102">
        <v>1.00030125</v>
      </c>
      <c r="Q117" s="102">
        <v>4.7014158749999995</v>
      </c>
      <c r="R117" s="151">
        <v>0</v>
      </c>
      <c r="S117" s="153">
        <v>0</v>
      </c>
    </row>
    <row r="118" spans="1:19" ht="15.75" thickBot="1">
      <c r="A118" s="864"/>
      <c r="B118" s="875"/>
      <c r="C118" s="570"/>
      <c r="D118" s="875"/>
      <c r="E118" s="875"/>
      <c r="F118" s="281"/>
      <c r="G118" s="867"/>
      <c r="H118" s="886"/>
      <c r="I118" s="570"/>
      <c r="J118" s="570" t="s">
        <v>181</v>
      </c>
      <c r="K118" s="570" t="s">
        <v>114</v>
      </c>
      <c r="L118" s="115">
        <v>0.0047775</v>
      </c>
      <c r="M118" s="233">
        <v>2.9</v>
      </c>
      <c r="N118" s="233">
        <v>0</v>
      </c>
      <c r="O118" s="233"/>
      <c r="P118" s="115">
        <v>0.20304375</v>
      </c>
      <c r="Q118" s="115">
        <v>0.588826875</v>
      </c>
      <c r="R118" s="154">
        <v>0</v>
      </c>
      <c r="S118" s="265">
        <v>0</v>
      </c>
    </row>
    <row r="119" spans="1:19" ht="15">
      <c r="A119" s="862">
        <v>41246</v>
      </c>
      <c r="B119" s="905">
        <v>40350</v>
      </c>
      <c r="C119" s="574"/>
      <c r="D119" s="905" t="s">
        <v>511</v>
      </c>
      <c r="E119" s="905" t="s">
        <v>512</v>
      </c>
      <c r="F119" s="566"/>
      <c r="G119" s="887">
        <v>16</v>
      </c>
      <c r="H119" s="890">
        <v>0.01</v>
      </c>
      <c r="I119" s="362"/>
      <c r="J119" s="104" t="s">
        <v>126</v>
      </c>
      <c r="K119" s="104" t="s">
        <v>112</v>
      </c>
      <c r="L119" s="119">
        <v>0.0045000000000000005</v>
      </c>
      <c r="M119" s="103">
        <v>9.4</v>
      </c>
      <c r="N119" s="103">
        <v>0.5</v>
      </c>
      <c r="O119" s="103"/>
      <c r="P119" s="117">
        <v>0.07200000000000001</v>
      </c>
      <c r="Q119" s="117">
        <v>0.6768000000000001</v>
      </c>
      <c r="R119" s="277">
        <v>0.036000000000000004</v>
      </c>
      <c r="S119" s="266">
        <v>0</v>
      </c>
    </row>
    <row r="120" spans="1:19" ht="15">
      <c r="A120" s="863"/>
      <c r="B120" s="874"/>
      <c r="C120" s="872">
        <v>42475</v>
      </c>
      <c r="D120" s="874"/>
      <c r="E120" s="874"/>
      <c r="F120" s="891" t="s">
        <v>513</v>
      </c>
      <c r="G120" s="888"/>
      <c r="H120" s="885"/>
      <c r="I120" s="877">
        <v>0.7</v>
      </c>
      <c r="J120" s="569" t="s">
        <v>180</v>
      </c>
      <c r="K120" s="569" t="s">
        <v>112</v>
      </c>
      <c r="L120" s="102">
        <v>0.007245</v>
      </c>
      <c r="M120" s="155">
        <v>4.7</v>
      </c>
      <c r="N120" s="155">
        <v>0</v>
      </c>
      <c r="O120" s="155"/>
      <c r="P120" s="102">
        <v>0.11592</v>
      </c>
      <c r="Q120" s="102">
        <v>0.544824</v>
      </c>
      <c r="R120" s="151">
        <v>0</v>
      </c>
      <c r="S120" s="153">
        <v>0</v>
      </c>
    </row>
    <row r="121" spans="1:19" ht="15">
      <c r="A121" s="863"/>
      <c r="B121" s="874"/>
      <c r="C121" s="874"/>
      <c r="D121" s="874"/>
      <c r="E121" s="874"/>
      <c r="F121" s="866"/>
      <c r="G121" s="888"/>
      <c r="H121" s="885"/>
      <c r="I121" s="885"/>
      <c r="J121" s="569" t="s">
        <v>181</v>
      </c>
      <c r="K121" s="569" t="s">
        <v>114</v>
      </c>
      <c r="L121" s="102">
        <v>0.0018340000000000001</v>
      </c>
      <c r="M121" s="155">
        <v>2.9</v>
      </c>
      <c r="N121" s="155">
        <v>0</v>
      </c>
      <c r="O121" s="155"/>
      <c r="P121" s="102">
        <v>0.029344000000000002</v>
      </c>
      <c r="Q121" s="102">
        <v>0.08509760000000001</v>
      </c>
      <c r="R121" s="151">
        <v>0</v>
      </c>
      <c r="S121" s="153">
        <v>0</v>
      </c>
    </row>
    <row r="122" spans="1:19" ht="15">
      <c r="A122" s="863"/>
      <c r="B122" s="873"/>
      <c r="C122" s="873"/>
      <c r="D122" s="874"/>
      <c r="E122" s="873"/>
      <c r="F122" s="892"/>
      <c r="G122" s="888"/>
      <c r="H122" s="878"/>
      <c r="I122" s="878"/>
      <c r="J122" s="568" t="s">
        <v>185</v>
      </c>
      <c r="K122" s="568" t="s">
        <v>112</v>
      </c>
      <c r="L122" s="121">
        <v>0.008273999999999998</v>
      </c>
      <c r="M122" s="280">
        <v>9.4</v>
      </c>
      <c r="N122" s="280">
        <v>0.5</v>
      </c>
      <c r="O122" s="280"/>
      <c r="P122" s="121">
        <v>0.13238399999999997</v>
      </c>
      <c r="Q122" s="121">
        <v>1.2444095999999998</v>
      </c>
      <c r="R122" s="234">
        <v>0.06619199999999999</v>
      </c>
      <c r="S122" s="266">
        <v>0</v>
      </c>
    </row>
    <row r="123" spans="1:19" ht="15">
      <c r="A123" s="863"/>
      <c r="B123" s="872">
        <v>40358</v>
      </c>
      <c r="C123" s="569"/>
      <c r="D123" s="874"/>
      <c r="E123" s="872" t="s">
        <v>281</v>
      </c>
      <c r="F123" s="279"/>
      <c r="G123" s="888"/>
      <c r="H123" s="877">
        <v>0.01</v>
      </c>
      <c r="I123" s="569"/>
      <c r="J123" s="569" t="s">
        <v>180</v>
      </c>
      <c r="K123" s="569" t="s">
        <v>112</v>
      </c>
      <c r="L123" s="102">
        <v>0.009670999999999999</v>
      </c>
      <c r="M123" s="155">
        <v>4.7</v>
      </c>
      <c r="N123" s="155">
        <v>0</v>
      </c>
      <c r="O123" s="155"/>
      <c r="P123" s="102">
        <v>0.15473599999999998</v>
      </c>
      <c r="Q123" s="102">
        <v>0.7272592</v>
      </c>
      <c r="R123" s="151">
        <v>0</v>
      </c>
      <c r="S123" s="153">
        <v>0</v>
      </c>
    </row>
    <row r="124" spans="1:19" ht="15">
      <c r="A124" s="863"/>
      <c r="B124" s="874"/>
      <c r="C124" s="569"/>
      <c r="D124" s="874"/>
      <c r="E124" s="874"/>
      <c r="F124" s="279"/>
      <c r="G124" s="888"/>
      <c r="H124" s="885"/>
      <c r="I124" s="569"/>
      <c r="J124" s="569" t="s">
        <v>181</v>
      </c>
      <c r="K124" s="569" t="s">
        <v>114</v>
      </c>
      <c r="L124" s="102">
        <v>0.00357</v>
      </c>
      <c r="M124" s="155">
        <v>2.9</v>
      </c>
      <c r="N124" s="155">
        <v>0</v>
      </c>
      <c r="O124" s="155"/>
      <c r="P124" s="102">
        <v>0.05712</v>
      </c>
      <c r="Q124" s="102">
        <v>0.165648</v>
      </c>
      <c r="R124" s="151">
        <v>0</v>
      </c>
      <c r="S124" s="153">
        <v>0</v>
      </c>
    </row>
    <row r="125" spans="1:19" ht="15.75" thickBot="1">
      <c r="A125" s="864"/>
      <c r="B125" s="875"/>
      <c r="C125" s="570"/>
      <c r="D125" s="875"/>
      <c r="E125" s="875"/>
      <c r="F125" s="281"/>
      <c r="G125" s="889"/>
      <c r="H125" s="886"/>
      <c r="I125" s="570"/>
      <c r="J125" s="570" t="s">
        <v>185</v>
      </c>
      <c r="K125" s="570" t="s">
        <v>112</v>
      </c>
      <c r="L125" s="115">
        <v>0.011655</v>
      </c>
      <c r="M125" s="233">
        <v>9.4</v>
      </c>
      <c r="N125" s="233">
        <v>0.5</v>
      </c>
      <c r="O125" s="233"/>
      <c r="P125" s="115">
        <v>0.18648</v>
      </c>
      <c r="Q125" s="115">
        <v>1.752912</v>
      </c>
      <c r="R125" s="154">
        <v>0.09324</v>
      </c>
      <c r="S125" s="265">
        <v>0</v>
      </c>
    </row>
    <row r="126" spans="1:19" ht="15">
      <c r="A126" s="862">
        <v>210304</v>
      </c>
      <c r="B126" s="574"/>
      <c r="C126" s="574"/>
      <c r="D126" s="865" t="s">
        <v>514</v>
      </c>
      <c r="E126" s="351"/>
      <c r="F126" s="351"/>
      <c r="G126" s="865">
        <v>18</v>
      </c>
      <c r="H126" s="574"/>
      <c r="I126" s="574"/>
      <c r="J126" s="574" t="s">
        <v>119</v>
      </c>
      <c r="K126" s="574" t="s">
        <v>112</v>
      </c>
      <c r="L126" s="98">
        <v>0.069654</v>
      </c>
      <c r="M126" s="211">
        <v>4.7</v>
      </c>
      <c r="N126" s="211">
        <v>0</v>
      </c>
      <c r="O126" s="211"/>
      <c r="P126" s="102">
        <v>1.2537719999999999</v>
      </c>
      <c r="Q126" s="102">
        <v>5.892728399999999</v>
      </c>
      <c r="R126" s="151">
        <v>0</v>
      </c>
      <c r="S126" s="153">
        <v>0</v>
      </c>
    </row>
    <row r="127" spans="1:19" ht="15">
      <c r="A127" s="863"/>
      <c r="B127" s="569"/>
      <c r="C127" s="569"/>
      <c r="D127" s="866"/>
      <c r="E127" s="352"/>
      <c r="F127" s="352"/>
      <c r="G127" s="866"/>
      <c r="H127" s="569"/>
      <c r="I127" s="569"/>
      <c r="J127" s="569" t="s">
        <v>498</v>
      </c>
      <c r="K127" s="569" t="s">
        <v>114</v>
      </c>
      <c r="L127" s="102">
        <v>0.02207898</v>
      </c>
      <c r="M127" s="155">
        <v>2.9</v>
      </c>
      <c r="N127" s="155">
        <v>0</v>
      </c>
      <c r="O127" s="155"/>
      <c r="P127" s="102">
        <v>0.39742164</v>
      </c>
      <c r="Q127" s="102">
        <v>1.152522756</v>
      </c>
      <c r="R127" s="151">
        <v>0</v>
      </c>
      <c r="S127" s="153">
        <v>0</v>
      </c>
    </row>
    <row r="128" spans="1:19" ht="15">
      <c r="A128" s="863"/>
      <c r="B128" s="569"/>
      <c r="C128" s="569"/>
      <c r="D128" s="866"/>
      <c r="E128" s="352"/>
      <c r="F128" s="352"/>
      <c r="G128" s="866"/>
      <c r="H128" s="569"/>
      <c r="I128" s="569"/>
      <c r="J128" s="569" t="s">
        <v>123</v>
      </c>
      <c r="K128" s="569" t="s">
        <v>112</v>
      </c>
      <c r="L128" s="102">
        <v>0.028164</v>
      </c>
      <c r="M128" s="155">
        <v>9.4</v>
      </c>
      <c r="N128" s="155">
        <v>0.5</v>
      </c>
      <c r="O128" s="155"/>
      <c r="P128" s="102">
        <v>0.5069520000000001</v>
      </c>
      <c r="Q128" s="102">
        <v>4.765348800000001</v>
      </c>
      <c r="R128" s="151">
        <v>0.25347600000000003</v>
      </c>
      <c r="S128" s="153">
        <v>0</v>
      </c>
    </row>
    <row r="129" spans="1:19" ht="15">
      <c r="A129" s="863"/>
      <c r="B129" s="569"/>
      <c r="C129" s="569"/>
      <c r="D129" s="866"/>
      <c r="E129" s="352"/>
      <c r="F129" s="352"/>
      <c r="G129" s="866"/>
      <c r="H129" s="569"/>
      <c r="I129" s="569"/>
      <c r="J129" s="569" t="s">
        <v>124</v>
      </c>
      <c r="K129" s="569" t="s">
        <v>112</v>
      </c>
      <c r="L129" s="102">
        <v>0.0658575</v>
      </c>
      <c r="M129" s="155">
        <v>9.4</v>
      </c>
      <c r="N129" s="155">
        <v>0.5</v>
      </c>
      <c r="O129" s="155"/>
      <c r="P129" s="102">
        <v>1.185435</v>
      </c>
      <c r="Q129" s="102">
        <v>11.143089</v>
      </c>
      <c r="R129" s="151">
        <v>0.5927175</v>
      </c>
      <c r="S129" s="153"/>
    </row>
    <row r="130" spans="1:19" ht="15">
      <c r="A130" s="863"/>
      <c r="B130" s="569"/>
      <c r="C130" s="569"/>
      <c r="D130" s="866"/>
      <c r="E130" s="352"/>
      <c r="F130" s="605"/>
      <c r="G130" s="866"/>
      <c r="H130" s="569"/>
      <c r="I130" s="569"/>
      <c r="J130" s="569" t="s">
        <v>502</v>
      </c>
      <c r="K130" s="569" t="s">
        <v>114</v>
      </c>
      <c r="L130" s="102">
        <v>0.00552</v>
      </c>
      <c r="M130" s="155">
        <v>2.9</v>
      </c>
      <c r="N130" s="155">
        <v>0</v>
      </c>
      <c r="O130" s="155"/>
      <c r="P130" s="102">
        <v>0.09935999999999999</v>
      </c>
      <c r="Q130" s="102">
        <v>0.28814399999999996</v>
      </c>
      <c r="R130" s="151">
        <v>0</v>
      </c>
      <c r="S130" s="153"/>
    </row>
    <row r="131" spans="1:19" ht="15">
      <c r="A131" s="863"/>
      <c r="B131" s="569"/>
      <c r="C131" s="569"/>
      <c r="D131" s="866"/>
      <c r="E131" s="352"/>
      <c r="F131" s="352"/>
      <c r="G131" s="866"/>
      <c r="H131" s="569"/>
      <c r="I131" s="569"/>
      <c r="J131" s="569" t="s">
        <v>503</v>
      </c>
      <c r="K131" s="569" t="s">
        <v>114</v>
      </c>
      <c r="L131" s="102">
        <v>0.00025</v>
      </c>
      <c r="M131" s="155">
        <v>2.9</v>
      </c>
      <c r="N131" s="155">
        <v>0</v>
      </c>
      <c r="O131" s="155"/>
      <c r="P131" s="102">
        <v>0.0045000000000000005</v>
      </c>
      <c r="Q131" s="102">
        <v>0.01305</v>
      </c>
      <c r="R131" s="151">
        <v>0</v>
      </c>
      <c r="S131" s="153"/>
    </row>
    <row r="132" spans="1:19" ht="15.75" thickBot="1">
      <c r="A132" s="863"/>
      <c r="B132" s="569"/>
      <c r="C132" s="569"/>
      <c r="D132" s="866"/>
      <c r="E132" s="352"/>
      <c r="F132" s="352"/>
      <c r="G132" s="866"/>
      <c r="H132" s="569"/>
      <c r="I132" s="569"/>
      <c r="J132" s="569" t="s">
        <v>504</v>
      </c>
      <c r="K132" s="569" t="s">
        <v>114</v>
      </c>
      <c r="L132" s="102">
        <v>9.6E-05</v>
      </c>
      <c r="M132" s="155">
        <v>2.9</v>
      </c>
      <c r="N132" s="155">
        <v>0</v>
      </c>
      <c r="O132" s="155"/>
      <c r="P132" s="102">
        <v>0.001728</v>
      </c>
      <c r="Q132" s="102">
        <v>0.0050111999999999995</v>
      </c>
      <c r="R132" s="151">
        <v>0</v>
      </c>
      <c r="S132" s="153"/>
    </row>
    <row r="133" spans="1:19" ht="15">
      <c r="A133" s="868">
        <v>4413200</v>
      </c>
      <c r="B133" s="552"/>
      <c r="C133" s="552"/>
      <c r="D133" s="870" t="s">
        <v>515</v>
      </c>
      <c r="E133" s="282"/>
      <c r="F133" s="282"/>
      <c r="G133" s="870">
        <v>65</v>
      </c>
      <c r="H133" s="553"/>
      <c r="I133" s="574"/>
      <c r="J133" s="574" t="s">
        <v>516</v>
      </c>
      <c r="K133" s="574" t="s">
        <v>114</v>
      </c>
      <c r="L133" s="98">
        <v>6E-05</v>
      </c>
      <c r="M133" s="211">
        <v>2.9</v>
      </c>
      <c r="N133" s="211">
        <v>0</v>
      </c>
      <c r="O133" s="211"/>
      <c r="P133" s="98">
        <v>0.0039000000000000003</v>
      </c>
      <c r="Q133" s="98">
        <v>0.01131</v>
      </c>
      <c r="R133" s="149">
        <v>0</v>
      </c>
      <c r="S133" s="153">
        <v>0</v>
      </c>
    </row>
    <row r="134" spans="1:19" ht="15">
      <c r="A134" s="863"/>
      <c r="B134" s="548"/>
      <c r="C134" s="548"/>
      <c r="D134" s="866"/>
      <c r="E134" s="279"/>
      <c r="F134" s="279"/>
      <c r="G134" s="866"/>
      <c r="H134" s="549"/>
      <c r="I134" s="569"/>
      <c r="J134" s="569" t="s">
        <v>517</v>
      </c>
      <c r="K134" s="569" t="s">
        <v>114</v>
      </c>
      <c r="L134" s="102">
        <v>0.0002</v>
      </c>
      <c r="M134" s="155">
        <v>2.9</v>
      </c>
      <c r="N134" s="155">
        <v>0</v>
      </c>
      <c r="O134" s="155"/>
      <c r="P134" s="102">
        <v>0.013000000000000001</v>
      </c>
      <c r="Q134" s="102">
        <v>0.037700000000000004</v>
      </c>
      <c r="R134" s="151">
        <v>0</v>
      </c>
      <c r="S134" s="153">
        <v>0</v>
      </c>
    </row>
    <row r="135" spans="1:19" ht="15">
      <c r="A135" s="863"/>
      <c r="B135" s="548"/>
      <c r="C135" s="548"/>
      <c r="D135" s="866"/>
      <c r="E135" s="279"/>
      <c r="F135" s="279"/>
      <c r="G135" s="866"/>
      <c r="H135" s="549"/>
      <c r="I135" s="569"/>
      <c r="J135" s="569" t="s">
        <v>518</v>
      </c>
      <c r="K135" s="569" t="s">
        <v>114</v>
      </c>
      <c r="L135" s="102">
        <v>0.00018</v>
      </c>
      <c r="M135" s="155">
        <v>2.9</v>
      </c>
      <c r="N135" s="155">
        <v>0</v>
      </c>
      <c r="O135" s="155"/>
      <c r="P135" s="102">
        <v>0.0117</v>
      </c>
      <c r="Q135" s="102">
        <v>0.03393</v>
      </c>
      <c r="R135" s="151">
        <v>0</v>
      </c>
      <c r="S135" s="153">
        <v>0</v>
      </c>
    </row>
    <row r="136" spans="1:19" ht="15.75" thickBot="1">
      <c r="A136" s="869"/>
      <c r="B136" s="550"/>
      <c r="C136" s="550"/>
      <c r="D136" s="871"/>
      <c r="E136" s="281"/>
      <c r="F136" s="281"/>
      <c r="G136" s="871"/>
      <c r="H136" s="551"/>
      <c r="I136" s="570"/>
      <c r="J136" s="570" t="s">
        <v>519</v>
      </c>
      <c r="K136" s="570" t="s">
        <v>114</v>
      </c>
      <c r="L136" s="115">
        <v>0.023</v>
      </c>
      <c r="M136" s="233">
        <v>2.9</v>
      </c>
      <c r="N136" s="233">
        <v>0</v>
      </c>
      <c r="O136" s="233"/>
      <c r="P136" s="115">
        <v>1.4949999999999999</v>
      </c>
      <c r="Q136" s="115">
        <v>4.3355</v>
      </c>
      <c r="R136" s="154">
        <v>0</v>
      </c>
      <c r="S136" s="265">
        <v>0</v>
      </c>
    </row>
    <row r="137" spans="1:20" ht="15">
      <c r="A137" s="893" t="s">
        <v>115</v>
      </c>
      <c r="B137" s="894"/>
      <c r="C137" s="894"/>
      <c r="D137" s="894"/>
      <c r="E137" s="894"/>
      <c r="F137" s="894"/>
      <c r="G137" s="894"/>
      <c r="H137" s="894"/>
      <c r="I137" s="894"/>
      <c r="J137" s="895"/>
      <c r="K137" s="899" t="s">
        <v>116</v>
      </c>
      <c r="L137" s="900"/>
      <c r="M137" s="900"/>
      <c r="N137" s="900"/>
      <c r="O137" s="900"/>
      <c r="P137" s="901"/>
      <c r="Q137" s="224">
        <v>1097.0237393224998</v>
      </c>
      <c r="R137" s="254">
        <v>35.162742</v>
      </c>
      <c r="S137" s="263">
        <v>0</v>
      </c>
      <c r="T137" s="147" t="s">
        <v>116</v>
      </c>
    </row>
    <row r="138" spans="1:20" ht="15.75" thickBot="1">
      <c r="A138" s="896"/>
      <c r="B138" s="897"/>
      <c r="C138" s="897"/>
      <c r="D138" s="897"/>
      <c r="E138" s="897"/>
      <c r="F138" s="897"/>
      <c r="G138" s="897"/>
      <c r="H138" s="897"/>
      <c r="I138" s="897"/>
      <c r="J138" s="898"/>
      <c r="K138" s="902" t="s">
        <v>117</v>
      </c>
      <c r="L138" s="903"/>
      <c r="M138" s="903"/>
      <c r="N138" s="903"/>
      <c r="O138" s="903"/>
      <c r="P138" s="904"/>
      <c r="Q138" s="215">
        <v>115.43161722599999</v>
      </c>
      <c r="R138" s="261">
        <v>0</v>
      </c>
      <c r="S138" s="268">
        <v>0</v>
      </c>
      <c r="T138" s="147" t="s">
        <v>117</v>
      </c>
    </row>
    <row r="139" spans="13:14" ht="15">
      <c r="M139" s="112"/>
      <c r="N139" s="112"/>
    </row>
    <row r="143" spans="1:18" ht="15">
      <c r="A143" s="861"/>
      <c r="B143" s="861"/>
      <c r="C143" s="861"/>
      <c r="D143" s="861"/>
      <c r="E143" s="861"/>
      <c r="F143" s="861"/>
      <c r="G143" s="861"/>
      <c r="H143" s="861"/>
      <c r="I143" s="861"/>
      <c r="J143" s="861"/>
      <c r="K143" s="861"/>
      <c r="L143" s="861"/>
      <c r="M143" s="861"/>
      <c r="N143" s="861"/>
      <c r="O143" s="861"/>
      <c r="P143" s="861"/>
      <c r="Q143" s="861"/>
      <c r="R143" s="861"/>
    </row>
  </sheetData>
  <sheetProtection/>
  <mergeCells count="165">
    <mergeCell ref="A59:J61"/>
    <mergeCell ref="K61:P61"/>
    <mergeCell ref="K59:P59"/>
    <mergeCell ref="K60:P60"/>
    <mergeCell ref="B51:B55"/>
    <mergeCell ref="E51:E55"/>
    <mergeCell ref="H51:H55"/>
    <mergeCell ref="B56:B58"/>
    <mergeCell ref="E56:E58"/>
    <mergeCell ref="H56:H58"/>
    <mergeCell ref="H33:H34"/>
    <mergeCell ref="H35:H40"/>
    <mergeCell ref="C36:C40"/>
    <mergeCell ref="F36:F40"/>
    <mergeCell ref="E41:E43"/>
    <mergeCell ref="H41:H43"/>
    <mergeCell ref="I46:I48"/>
    <mergeCell ref="B49:B50"/>
    <mergeCell ref="E49:E50"/>
    <mergeCell ref="H49:H50"/>
    <mergeCell ref="I36:I40"/>
    <mergeCell ref="B41:B43"/>
    <mergeCell ref="G44:G58"/>
    <mergeCell ref="B45:B48"/>
    <mergeCell ref="H20:H22"/>
    <mergeCell ref="A32:A43"/>
    <mergeCell ref="D32:D43"/>
    <mergeCell ref="G32:G43"/>
    <mergeCell ref="E45:E48"/>
    <mergeCell ref="H45:H48"/>
    <mergeCell ref="C46:C48"/>
    <mergeCell ref="F46:F48"/>
    <mergeCell ref="B33:B34"/>
    <mergeCell ref="E33:E34"/>
    <mergeCell ref="H26:H30"/>
    <mergeCell ref="A96:J97"/>
    <mergeCell ref="C78:C82"/>
    <mergeCell ref="D73:D76"/>
    <mergeCell ref="B73:B76"/>
    <mergeCell ref="E77:E82"/>
    <mergeCell ref="G77:G85"/>
    <mergeCell ref="E35:E40"/>
    <mergeCell ref="A44:A58"/>
    <mergeCell ref="D44:D58"/>
    <mergeCell ref="A1:S1"/>
    <mergeCell ref="A2:C2"/>
    <mergeCell ref="D2:D3"/>
    <mergeCell ref="E2:E3"/>
    <mergeCell ref="F2:F3"/>
    <mergeCell ref="A77:A85"/>
    <mergeCell ref="H77:H82"/>
    <mergeCell ref="G73:G76"/>
    <mergeCell ref="F78:F82"/>
    <mergeCell ref="S2:S3"/>
    <mergeCell ref="L2:L3"/>
    <mergeCell ref="R2:R3"/>
    <mergeCell ref="Q2:Q3"/>
    <mergeCell ref="K2:K3"/>
    <mergeCell ref="M2:O2"/>
    <mergeCell ref="E24:E25"/>
    <mergeCell ref="P2:P3"/>
    <mergeCell ref="I2:I3"/>
    <mergeCell ref="H24:H25"/>
    <mergeCell ref="J2:J3"/>
    <mergeCell ref="D77:D85"/>
    <mergeCell ref="I78:I82"/>
    <mergeCell ref="A137:J138"/>
    <mergeCell ref="G2:G3"/>
    <mergeCell ref="H2:H3"/>
    <mergeCell ref="B27:B30"/>
    <mergeCell ref="A23:A30"/>
    <mergeCell ref="D23:D30"/>
    <mergeCell ref="G23:G30"/>
    <mergeCell ref="E26:E30"/>
    <mergeCell ref="K138:P138"/>
    <mergeCell ref="K96:P96"/>
    <mergeCell ref="K97:P97"/>
    <mergeCell ref="A73:A76"/>
    <mergeCell ref="H73:H76"/>
    <mergeCell ref="B77:B82"/>
    <mergeCell ref="G86:G89"/>
    <mergeCell ref="A86:A89"/>
    <mergeCell ref="D86:D89"/>
    <mergeCell ref="E73:E76"/>
    <mergeCell ref="I120:I122"/>
    <mergeCell ref="H123:H125"/>
    <mergeCell ref="A133:A136"/>
    <mergeCell ref="D133:D136"/>
    <mergeCell ref="G133:G136"/>
    <mergeCell ref="K137:P137"/>
    <mergeCell ref="A119:A125"/>
    <mergeCell ref="B119:B122"/>
    <mergeCell ref="D119:D125"/>
    <mergeCell ref="E119:E122"/>
    <mergeCell ref="A16:A22"/>
    <mergeCell ref="D16:D22"/>
    <mergeCell ref="H14:H15"/>
    <mergeCell ref="A13:A15"/>
    <mergeCell ref="A9:J10"/>
    <mergeCell ref="K9:P9"/>
    <mergeCell ref="K10:P10"/>
    <mergeCell ref="H17:H19"/>
    <mergeCell ref="B20:B22"/>
    <mergeCell ref="E20:E22"/>
    <mergeCell ref="G16:G22"/>
    <mergeCell ref="B17:B19"/>
    <mergeCell ref="E17:E19"/>
    <mergeCell ref="B35:B40"/>
    <mergeCell ref="G13:G15"/>
    <mergeCell ref="B14:B15"/>
    <mergeCell ref="E14:E15"/>
    <mergeCell ref="D13:D15"/>
    <mergeCell ref="B24:B25"/>
    <mergeCell ref="H65:H69"/>
    <mergeCell ref="A70:J71"/>
    <mergeCell ref="K70:P70"/>
    <mergeCell ref="K71:P71"/>
    <mergeCell ref="A64:A69"/>
    <mergeCell ref="D64:D69"/>
    <mergeCell ref="G64:G69"/>
    <mergeCell ref="B65:B69"/>
    <mergeCell ref="E65:E69"/>
    <mergeCell ref="H117:H118"/>
    <mergeCell ref="G119:G125"/>
    <mergeCell ref="H119:H122"/>
    <mergeCell ref="C120:C122"/>
    <mergeCell ref="F120:F122"/>
    <mergeCell ref="B123:B125"/>
    <mergeCell ref="E123:E125"/>
    <mergeCell ref="H111:H112"/>
    <mergeCell ref="H113:H115"/>
    <mergeCell ref="D110:D115"/>
    <mergeCell ref="G110:G115"/>
    <mergeCell ref="G106:G107"/>
    <mergeCell ref="A116:A118"/>
    <mergeCell ref="D116:D118"/>
    <mergeCell ref="G116:G118"/>
    <mergeCell ref="B117:B118"/>
    <mergeCell ref="E117:E118"/>
    <mergeCell ref="B111:B112"/>
    <mergeCell ref="E111:E112"/>
    <mergeCell ref="B113:B115"/>
    <mergeCell ref="E113:E115"/>
    <mergeCell ref="A106:A107"/>
    <mergeCell ref="D106:D107"/>
    <mergeCell ref="A103:A105"/>
    <mergeCell ref="D103:D105"/>
    <mergeCell ref="G103:G105"/>
    <mergeCell ref="A126:A132"/>
    <mergeCell ref="D126:D132"/>
    <mergeCell ref="G126:G132"/>
    <mergeCell ref="A108:A109"/>
    <mergeCell ref="D108:D109"/>
    <mergeCell ref="G108:G109"/>
    <mergeCell ref="A110:A115"/>
    <mergeCell ref="A143:R143"/>
    <mergeCell ref="A90:A93"/>
    <mergeCell ref="D90:D93"/>
    <mergeCell ref="G90:G93"/>
    <mergeCell ref="A94:A95"/>
    <mergeCell ref="D94:D95"/>
    <mergeCell ref="G94:G95"/>
    <mergeCell ref="A99:A102"/>
    <mergeCell ref="D99:D102"/>
    <mergeCell ref="G99:G102"/>
  </mergeCells>
  <printOptions/>
  <pageMargins left="0.2362204724409449" right="0.2362204724409449" top="0.7480314960629921" bottom="0.7480314960629921" header="0.31496062992125984" footer="0.31496062992125984"/>
  <pageSetup firstPageNumber="135" useFirstPageNumber="1" fitToHeight="0" fitToWidth="1" horizontalDpi="600" verticalDpi="600" orientation="landscape" paperSize="8" scale="72" r:id="rId2"/>
  <headerFooter>
    <oddFooter>&amp;C&amp;P</oddFooter>
  </headerFooter>
  <rowBreaks count="2" manualBreakCount="2">
    <brk id="61" max="18" man="1"/>
    <brk id="97" max="18" man="1"/>
  </rowBreaks>
  <colBreaks count="1" manualBreakCount="1"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3"/>
  <sheetViews>
    <sheetView view="pageBreakPreview" zoomScaleSheetLayoutView="100" zoomScalePageLayoutView="0" workbookViewId="0" topLeftCell="A71">
      <selection activeCell="B392" sqref="B392"/>
    </sheetView>
  </sheetViews>
  <sheetFormatPr defaultColWidth="14.421875" defaultRowHeight="15"/>
  <cols>
    <col min="1" max="1" width="7.00390625" style="0" customWidth="1"/>
    <col min="2" max="2" width="54.421875" style="0" customWidth="1"/>
    <col min="3" max="3" width="5.7109375" style="0" customWidth="1"/>
    <col min="4" max="4" width="1.7109375" style="0" customWidth="1"/>
    <col min="5" max="6" width="5.7109375" style="0" customWidth="1"/>
    <col min="7" max="7" width="1.7109375" style="0" customWidth="1"/>
    <col min="8" max="9" width="5.7109375" style="0" customWidth="1"/>
    <col min="10" max="10" width="13.7109375" style="0" customWidth="1"/>
    <col min="11" max="11" width="10.7109375" style="0" customWidth="1"/>
    <col min="12" max="12" width="9.8515625" style="0" customWidth="1"/>
    <col min="13" max="13" width="12.8515625" style="0" customWidth="1"/>
    <col min="14" max="14" width="6.421875" style="0" customWidth="1"/>
    <col min="15" max="15" width="23.8515625" style="413" customWidth="1"/>
    <col min="16" max="16" width="12.8515625" style="0" customWidth="1"/>
    <col min="17" max="18" width="10.57421875" style="0" customWidth="1"/>
    <col min="19" max="19" width="15.140625" style="0" customWidth="1"/>
    <col min="20" max="22" width="9.28125" style="0" customWidth="1"/>
    <col min="23" max="23" width="12.421875" style="0" customWidth="1"/>
    <col min="24" max="24" width="12.8515625" style="0" customWidth="1"/>
    <col min="25" max="29" width="9.28125" style="0" customWidth="1"/>
    <col min="30" max="33" width="9.140625" style="0" customWidth="1"/>
  </cols>
  <sheetData>
    <row r="1" spans="1:33" ht="60" customHeight="1">
      <c r="A1" s="981" t="s">
        <v>280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3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</row>
    <row r="2" spans="1:33" ht="18" customHeight="1">
      <c r="A2" s="990" t="s">
        <v>1</v>
      </c>
      <c r="B2" s="984" t="s">
        <v>219</v>
      </c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6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</row>
    <row r="3" spans="1:33" ht="12.75" customHeight="1">
      <c r="A3" s="991"/>
      <c r="B3" s="987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9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</row>
    <row r="4" spans="1:33" ht="15">
      <c r="A4" s="384" t="str">
        <f>ORÇ!C7</f>
        <v>1.0</v>
      </c>
      <c r="B4" s="327" t="str">
        <f>VLOOKUP(A4,ORÇ!$C$1:$I$158,2,0)</f>
        <v>TERRAPLENAGEM E SERVIÇOS PRELIMINARES</v>
      </c>
      <c r="C4" s="306"/>
      <c r="D4" s="307"/>
      <c r="E4" s="308"/>
      <c r="F4" s="306"/>
      <c r="G4" s="307"/>
      <c r="H4" s="308"/>
      <c r="I4" s="309"/>
      <c r="J4" s="310"/>
      <c r="K4" s="311"/>
      <c r="L4" s="312"/>
      <c r="M4" s="311"/>
      <c r="N4" s="306"/>
      <c r="O4" s="410"/>
      <c r="P4" s="313"/>
      <c r="Q4" s="313"/>
      <c r="R4" s="313"/>
      <c r="S4" s="313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</row>
    <row r="5" spans="1:33" ht="15">
      <c r="A5" s="384" t="str">
        <f>ORÇ!C8</f>
        <v>1.1</v>
      </c>
      <c r="B5" s="327" t="str">
        <f>VLOOKUP(A5,ORÇ!$C$1:$I$158,2,0)</f>
        <v>SERVIÇOS PRELIMINARES</v>
      </c>
      <c r="C5" s="306"/>
      <c r="D5" s="307"/>
      <c r="E5" s="308"/>
      <c r="F5" s="306"/>
      <c r="G5" s="307"/>
      <c r="H5" s="308"/>
      <c r="I5" s="309"/>
      <c r="J5" s="310"/>
      <c r="K5" s="311"/>
      <c r="L5" s="312"/>
      <c r="M5" s="311"/>
      <c r="N5" s="306"/>
      <c r="O5" s="410"/>
      <c r="P5" s="313"/>
      <c r="Q5" s="313"/>
      <c r="R5" s="313"/>
      <c r="S5" s="313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</row>
    <row r="6" spans="1:16" ht="24">
      <c r="A6" s="385" t="str">
        <f>ORÇ!C9</f>
        <v>1.1.1</v>
      </c>
      <c r="B6" s="315" t="str">
        <f>VLOOKUP(A6,ORÇ!$C$1:$I$158,2,0)</f>
        <v>Desmatamento, destocamento, limpeza de área e estocagem do material de limpeza com árvores de diâmetro até 0,15 m</v>
      </c>
      <c r="C6" s="974"/>
      <c r="D6" s="975"/>
      <c r="E6" s="976"/>
      <c r="F6" s="974"/>
      <c r="G6" s="975"/>
      <c r="H6" s="976"/>
      <c r="I6" s="346"/>
      <c r="J6" s="326"/>
      <c r="K6" s="347"/>
      <c r="L6" s="348"/>
      <c r="M6" s="347" t="s">
        <v>225</v>
      </c>
      <c r="N6" s="329"/>
      <c r="O6" s="978" t="s">
        <v>578</v>
      </c>
      <c r="P6" s="409">
        <f>M8</f>
        <v>656</v>
      </c>
    </row>
    <row r="7" spans="1:15" ht="15">
      <c r="A7" s="385"/>
      <c r="B7" s="349"/>
      <c r="C7" s="315"/>
      <c r="D7" s="516"/>
      <c r="E7" s="517"/>
      <c r="F7" s="515"/>
      <c r="G7" s="516"/>
      <c r="H7" s="517"/>
      <c r="I7" s="346"/>
      <c r="J7" s="347"/>
      <c r="K7" s="347"/>
      <c r="L7" s="348"/>
      <c r="M7" s="347">
        <v>656</v>
      </c>
      <c r="N7" s="334" t="str">
        <f>N8</f>
        <v>m²</v>
      </c>
      <c r="O7" s="978"/>
    </row>
    <row r="8" spans="1:15" ht="15">
      <c r="A8" s="386"/>
      <c r="B8" s="316"/>
      <c r="C8" s="317"/>
      <c r="D8" s="318"/>
      <c r="E8" s="319"/>
      <c r="F8" s="317"/>
      <c r="G8" s="318"/>
      <c r="H8" s="319"/>
      <c r="I8" s="320"/>
      <c r="J8" s="321"/>
      <c r="K8" s="322"/>
      <c r="L8" s="323"/>
      <c r="M8" s="324">
        <f>SUM(M7)</f>
        <v>656</v>
      </c>
      <c r="N8" s="330" t="str">
        <f>VLOOKUP(A6,ORÇ!$C$1:$I$158,3,0)</f>
        <v>m²</v>
      </c>
      <c r="O8" s="978"/>
    </row>
    <row r="9" spans="1:16" ht="15">
      <c r="A9" s="385" t="str">
        <f>ORÇ!C10</f>
        <v>1.1.2</v>
      </c>
      <c r="B9" s="315" t="str">
        <f>VLOOKUP(A9,ORÇ!$C$1:$I$158,2,0)</f>
        <v>Desgalhamento, corte em toras e empilhamento de Árvores</v>
      </c>
      <c r="C9" s="974"/>
      <c r="D9" s="975"/>
      <c r="E9" s="976"/>
      <c r="F9" s="974"/>
      <c r="G9" s="975"/>
      <c r="H9" s="976"/>
      <c r="I9" s="346"/>
      <c r="J9" s="326"/>
      <c r="K9" s="347"/>
      <c r="L9" s="348"/>
      <c r="M9" s="347" t="s">
        <v>225</v>
      </c>
      <c r="N9" s="329"/>
      <c r="O9" s="978" t="s">
        <v>583</v>
      </c>
      <c r="P9" s="409">
        <f>M12</f>
        <v>2</v>
      </c>
    </row>
    <row r="10" spans="1:15" ht="15">
      <c r="A10" s="385"/>
      <c r="B10" s="365" t="str">
        <f>_xlfn.CONCAT("item ",A13)</f>
        <v>item 1.1.3</v>
      </c>
      <c r="C10" s="315"/>
      <c r="D10" s="624"/>
      <c r="E10" s="625"/>
      <c r="F10" s="623"/>
      <c r="G10" s="624"/>
      <c r="H10" s="625"/>
      <c r="I10" s="346"/>
      <c r="J10" s="347"/>
      <c r="K10" s="347"/>
      <c r="L10" s="348"/>
      <c r="M10" s="347">
        <f>M15</f>
        <v>2</v>
      </c>
      <c r="N10" s="334" t="str">
        <f>N12</f>
        <v>und</v>
      </c>
      <c r="O10" s="978"/>
    </row>
    <row r="11" spans="1:15" ht="15">
      <c r="A11" s="385"/>
      <c r="B11" s="365" t="str">
        <f>_xlfn.CONCAT("item ",A16)</f>
        <v>item 1.1.4</v>
      </c>
      <c r="C11" s="315"/>
      <c r="D11" s="624"/>
      <c r="E11" s="625"/>
      <c r="F11" s="623"/>
      <c r="G11" s="624"/>
      <c r="H11" s="625"/>
      <c r="I11" s="346"/>
      <c r="J11" s="326"/>
      <c r="K11" s="347"/>
      <c r="L11" s="348"/>
      <c r="M11" s="347">
        <f>M18</f>
        <v>2</v>
      </c>
      <c r="N11" s="334" t="str">
        <f>N12</f>
        <v>und</v>
      </c>
      <c r="O11" s="978"/>
    </row>
    <row r="12" spans="1:15" ht="15">
      <c r="A12" s="386"/>
      <c r="B12" s="316"/>
      <c r="C12" s="317"/>
      <c r="D12" s="318"/>
      <c r="E12" s="319"/>
      <c r="F12" s="317"/>
      <c r="G12" s="318"/>
      <c r="H12" s="319"/>
      <c r="I12" s="320"/>
      <c r="J12" s="321"/>
      <c r="K12" s="322"/>
      <c r="L12" s="323"/>
      <c r="M12" s="324">
        <f>SUM(M10)</f>
        <v>2</v>
      </c>
      <c r="N12" s="330" t="str">
        <f>VLOOKUP(A9,ORÇ!$C$1:$I$158,3,0)</f>
        <v>und</v>
      </c>
      <c r="O12" s="978"/>
    </row>
    <row r="13" spans="1:16" ht="15">
      <c r="A13" s="385" t="str">
        <f>ORÇ!C11</f>
        <v>1.1.3</v>
      </c>
      <c r="B13" s="315" t="str">
        <f>VLOOKUP(A13,ORÇ!$C$1:$I$158,2,0)</f>
        <v>Destocamento de árvores com diâmetro de 0,15 a 0,30 m</v>
      </c>
      <c r="C13" s="974"/>
      <c r="D13" s="975"/>
      <c r="E13" s="976"/>
      <c r="F13" s="974"/>
      <c r="G13" s="975"/>
      <c r="H13" s="976"/>
      <c r="I13" s="346"/>
      <c r="J13" s="326"/>
      <c r="K13" s="347"/>
      <c r="L13" s="348"/>
      <c r="M13" s="347" t="s">
        <v>225</v>
      </c>
      <c r="N13" s="329"/>
      <c r="O13" s="978" t="s">
        <v>444</v>
      </c>
      <c r="P13" s="409">
        <f>M15</f>
        <v>2</v>
      </c>
    </row>
    <row r="14" spans="1:15" ht="15">
      <c r="A14" s="385"/>
      <c r="B14" s="349"/>
      <c r="C14" s="315"/>
      <c r="D14" s="516"/>
      <c r="E14" s="517"/>
      <c r="F14" s="515"/>
      <c r="G14" s="516"/>
      <c r="H14" s="517"/>
      <c r="I14" s="346"/>
      <c r="J14" s="347"/>
      <c r="K14" s="347"/>
      <c r="L14" s="348"/>
      <c r="M14" s="347">
        <v>2</v>
      </c>
      <c r="N14" s="334" t="str">
        <f>N15</f>
        <v>un</v>
      </c>
      <c r="O14" s="978"/>
    </row>
    <row r="15" spans="1:15" ht="15">
      <c r="A15" s="386"/>
      <c r="B15" s="316"/>
      <c r="C15" s="317"/>
      <c r="D15" s="318"/>
      <c r="E15" s="319"/>
      <c r="F15" s="317"/>
      <c r="G15" s="318"/>
      <c r="H15" s="319"/>
      <c r="I15" s="320"/>
      <c r="J15" s="321"/>
      <c r="K15" s="322"/>
      <c r="L15" s="323"/>
      <c r="M15" s="324">
        <f>SUM(M14)</f>
        <v>2</v>
      </c>
      <c r="N15" s="330" t="str">
        <f>VLOOKUP(A13,ORÇ!$C$1:$I$158,3,0)</f>
        <v>un</v>
      </c>
      <c r="O15" s="978"/>
    </row>
    <row r="16" spans="1:16" ht="15">
      <c r="A16" s="385" t="str">
        <f>ORÇ!C12</f>
        <v>1.1.4</v>
      </c>
      <c r="B16" s="315" t="str">
        <f>VLOOKUP(A16,ORÇ!$C$1:$I$158,2,0)</f>
        <v>Destocamento de árvores com diâmetro maior que 0,30 m</v>
      </c>
      <c r="C16" s="974"/>
      <c r="D16" s="975"/>
      <c r="E16" s="976"/>
      <c r="F16" s="974"/>
      <c r="G16" s="975"/>
      <c r="H16" s="976"/>
      <c r="I16" s="346"/>
      <c r="J16" s="326"/>
      <c r="K16" s="347"/>
      <c r="L16" s="348"/>
      <c r="M16" s="347" t="s">
        <v>225</v>
      </c>
      <c r="N16" s="329"/>
      <c r="O16" s="978" t="s">
        <v>444</v>
      </c>
      <c r="P16" s="409">
        <f>M18</f>
        <v>2</v>
      </c>
    </row>
    <row r="17" spans="1:15" ht="15">
      <c r="A17" s="385"/>
      <c r="B17" s="349"/>
      <c r="C17" s="315"/>
      <c r="D17" s="516"/>
      <c r="E17" s="517"/>
      <c r="F17" s="515"/>
      <c r="G17" s="516"/>
      <c r="H17" s="517"/>
      <c r="I17" s="346"/>
      <c r="J17" s="347"/>
      <c r="K17" s="347"/>
      <c r="L17" s="348"/>
      <c r="M17" s="347">
        <v>2</v>
      </c>
      <c r="N17" s="334" t="str">
        <f>N18</f>
        <v>un</v>
      </c>
      <c r="O17" s="978"/>
    </row>
    <row r="18" spans="1:15" ht="15">
      <c r="A18" s="386"/>
      <c r="B18" s="316"/>
      <c r="C18" s="317"/>
      <c r="D18" s="318"/>
      <c r="E18" s="319"/>
      <c r="F18" s="317"/>
      <c r="G18" s="318"/>
      <c r="H18" s="319"/>
      <c r="I18" s="320"/>
      <c r="J18" s="321"/>
      <c r="K18" s="322"/>
      <c r="L18" s="323"/>
      <c r="M18" s="324">
        <f>SUM(M17)</f>
        <v>2</v>
      </c>
      <c r="N18" s="330" t="str">
        <f>VLOOKUP(A16,ORÇ!$C$1:$I$158,3,0)</f>
        <v>un</v>
      </c>
      <c r="O18" s="978"/>
    </row>
    <row r="19" spans="1:16" ht="24">
      <c r="A19" s="385" t="str">
        <f>ORÇ!C13</f>
        <v>1.1.5</v>
      </c>
      <c r="B19" s="315" t="str">
        <f>VLOOKUP(A19,ORÇ!$C$1:$I$158,2,0)</f>
        <v>Demolição de concreto simples com martelete</v>
      </c>
      <c r="C19" s="974" t="s">
        <v>220</v>
      </c>
      <c r="D19" s="975"/>
      <c r="E19" s="976"/>
      <c r="F19" s="974" t="s">
        <v>221</v>
      </c>
      <c r="G19" s="975"/>
      <c r="H19" s="976"/>
      <c r="I19" s="346" t="s">
        <v>222</v>
      </c>
      <c r="J19" s="326" t="s">
        <v>223</v>
      </c>
      <c r="K19" s="347" t="s">
        <v>224</v>
      </c>
      <c r="L19" s="348" t="s">
        <v>226</v>
      </c>
      <c r="M19" s="347" t="s">
        <v>225</v>
      </c>
      <c r="N19" s="329"/>
      <c r="O19" s="978" t="s">
        <v>445</v>
      </c>
      <c r="P19" s="409">
        <f>M21</f>
        <v>52.480000000000004</v>
      </c>
    </row>
    <row r="20" spans="1:15" ht="15">
      <c r="A20" s="385"/>
      <c r="B20" s="349"/>
      <c r="C20" s="515">
        <v>100</v>
      </c>
      <c r="D20" s="516" t="s">
        <v>286</v>
      </c>
      <c r="E20" s="517">
        <v>16</v>
      </c>
      <c r="F20" s="515">
        <v>102</v>
      </c>
      <c r="G20" s="516" t="s">
        <v>286</v>
      </c>
      <c r="H20" s="517">
        <v>17</v>
      </c>
      <c r="I20" s="346" t="s">
        <v>287</v>
      </c>
      <c r="J20" s="347">
        <f>(F20-C20)*20+H20-E20</f>
        <v>41</v>
      </c>
      <c r="K20" s="347">
        <v>16</v>
      </c>
      <c r="L20" s="348">
        <v>0.08</v>
      </c>
      <c r="M20" s="347">
        <f>K20*L20*J20</f>
        <v>52.480000000000004</v>
      </c>
      <c r="N20" s="334" t="str">
        <f>N21</f>
        <v>m³</v>
      </c>
      <c r="O20" s="978"/>
    </row>
    <row r="21" spans="1:15" ht="15">
      <c r="A21" s="386"/>
      <c r="B21" s="316"/>
      <c r="C21" s="317"/>
      <c r="D21" s="318"/>
      <c r="E21" s="319"/>
      <c r="F21" s="317"/>
      <c r="G21" s="318"/>
      <c r="H21" s="319"/>
      <c r="I21" s="320"/>
      <c r="J21" s="321"/>
      <c r="K21" s="322"/>
      <c r="L21" s="323"/>
      <c r="M21" s="324">
        <f>SUM(M20)</f>
        <v>52.480000000000004</v>
      </c>
      <c r="N21" s="330" t="str">
        <f>VLOOKUP(A19,ORÇ!$C$1:$I$158,3,0)</f>
        <v>m³</v>
      </c>
      <c r="O21" s="978"/>
    </row>
    <row r="22" spans="1:16" ht="15">
      <c r="A22" s="385" t="str">
        <f>ORÇ!C14</f>
        <v>1.1.6</v>
      </c>
      <c r="B22" s="315" t="str">
        <f>VLOOKUP(A22,ORÇ!$C$1:$I$158,2,0)</f>
        <v>Demolição de concreto armado</v>
      </c>
      <c r="C22" s="974"/>
      <c r="D22" s="975"/>
      <c r="E22" s="976"/>
      <c r="F22" s="974"/>
      <c r="G22" s="975"/>
      <c r="H22" s="976"/>
      <c r="I22" s="346"/>
      <c r="J22" s="326"/>
      <c r="K22" s="347"/>
      <c r="L22" s="348"/>
      <c r="M22" s="347" t="s">
        <v>225</v>
      </c>
      <c r="N22" s="329"/>
      <c r="O22" s="978" t="s">
        <v>446</v>
      </c>
      <c r="P22" s="409">
        <f>M24</f>
        <v>10</v>
      </c>
    </row>
    <row r="23" spans="1:15" ht="15">
      <c r="A23" s="385"/>
      <c r="B23" s="349"/>
      <c r="C23" s="315"/>
      <c r="D23" s="516"/>
      <c r="E23" s="517"/>
      <c r="F23" s="515"/>
      <c r="G23" s="516"/>
      <c r="H23" s="517"/>
      <c r="I23" s="346"/>
      <c r="J23" s="347"/>
      <c r="K23" s="347"/>
      <c r="L23" s="348"/>
      <c r="M23" s="347">
        <v>10</v>
      </c>
      <c r="N23" s="334" t="str">
        <f>N24</f>
        <v>m³</v>
      </c>
      <c r="O23" s="978"/>
    </row>
    <row r="24" spans="1:15" ht="15">
      <c r="A24" s="386"/>
      <c r="B24" s="316"/>
      <c r="C24" s="317"/>
      <c r="D24" s="318"/>
      <c r="E24" s="319"/>
      <c r="F24" s="317"/>
      <c r="G24" s="318"/>
      <c r="H24" s="319"/>
      <c r="I24" s="320"/>
      <c r="J24" s="321"/>
      <c r="K24" s="322"/>
      <c r="L24" s="323"/>
      <c r="M24" s="324">
        <f>SUM(M23)</f>
        <v>10</v>
      </c>
      <c r="N24" s="330" t="str">
        <f>VLOOKUP(A22,ORÇ!$C$1:$I$158,3,0)</f>
        <v>m³</v>
      </c>
      <c r="O24" s="978"/>
    </row>
    <row r="25" spans="1:16" ht="48">
      <c r="A25" s="385" t="str">
        <f>ORÇ!C15</f>
        <v>1.1.7</v>
      </c>
      <c r="B25" s="315" t="str">
        <f>VLOOKUP(A25,ORÇ!$C$1:$I$158,2,0)</f>
        <v>Índice de preço para remoção de entulho decorrente da execução de obras (Classe A CONAMA - NBR 10.004 - Classe II-B), incluindo aluguel da caçamba, carga, transporte e descarga em área licenciada</v>
      </c>
      <c r="C25" s="974"/>
      <c r="D25" s="975"/>
      <c r="E25" s="976"/>
      <c r="F25" s="974"/>
      <c r="G25" s="975"/>
      <c r="H25" s="976"/>
      <c r="I25" s="346"/>
      <c r="J25" s="326" t="s">
        <v>241</v>
      </c>
      <c r="K25" s="347" t="s">
        <v>226</v>
      </c>
      <c r="L25" s="348" t="s">
        <v>449</v>
      </c>
      <c r="M25" s="347" t="s">
        <v>225</v>
      </c>
      <c r="N25" s="329"/>
      <c r="O25" s="978" t="s">
        <v>448</v>
      </c>
      <c r="P25" s="409">
        <f>M29</f>
        <v>95.28</v>
      </c>
    </row>
    <row r="26" spans="1:16" ht="15">
      <c r="A26" s="385"/>
      <c r="B26" s="365" t="str">
        <f>_xlfn.CONCAT("item ",A19)</f>
        <v>item 1.1.5</v>
      </c>
      <c r="C26" s="315"/>
      <c r="D26" s="516"/>
      <c r="E26" s="517"/>
      <c r="F26" s="515"/>
      <c r="G26" s="516"/>
      <c r="H26" s="517"/>
      <c r="I26" s="346"/>
      <c r="J26" s="326"/>
      <c r="K26" s="347"/>
      <c r="L26" s="348">
        <f>M21</f>
        <v>52.480000000000004</v>
      </c>
      <c r="M26" s="347">
        <f>L26</f>
        <v>52.480000000000004</v>
      </c>
      <c r="N26" s="334" t="str">
        <f>N29</f>
        <v>m3</v>
      </c>
      <c r="O26" s="978"/>
      <c r="P26" s="409"/>
    </row>
    <row r="27" spans="1:16" ht="15">
      <c r="A27" s="385"/>
      <c r="B27" s="365" t="str">
        <f>_xlfn.CONCAT("item ",A22)</f>
        <v>item 1.1.6</v>
      </c>
      <c r="C27" s="315"/>
      <c r="D27" s="516"/>
      <c r="E27" s="517"/>
      <c r="F27" s="515"/>
      <c r="G27" s="516"/>
      <c r="H27" s="517"/>
      <c r="I27" s="346"/>
      <c r="J27" s="326"/>
      <c r="K27" s="347"/>
      <c r="L27" s="348">
        <f>M24</f>
        <v>10</v>
      </c>
      <c r="M27" s="347">
        <f>L27</f>
        <v>10</v>
      </c>
      <c r="N27" s="334" t="str">
        <f>N29</f>
        <v>m3</v>
      </c>
      <c r="O27" s="978"/>
      <c r="P27" s="409"/>
    </row>
    <row r="28" spans="1:15" ht="15">
      <c r="A28" s="385"/>
      <c r="B28" s="365" t="str">
        <f>_xlfn.CONCAT("item ",A125)</f>
        <v>item 3.1.2</v>
      </c>
      <c r="C28" s="315"/>
      <c r="D28" s="516"/>
      <c r="E28" s="517"/>
      <c r="F28" s="515"/>
      <c r="G28" s="516"/>
      <c r="H28" s="517"/>
      <c r="I28" s="346"/>
      <c r="J28" s="347">
        <f>M127</f>
        <v>656</v>
      </c>
      <c r="K28" s="347">
        <v>0.05</v>
      </c>
      <c r="L28" s="348">
        <f>J28*K28</f>
        <v>32.800000000000004</v>
      </c>
      <c r="M28" s="347">
        <f>L28</f>
        <v>32.800000000000004</v>
      </c>
      <c r="N28" s="334" t="str">
        <f>N29</f>
        <v>m3</v>
      </c>
      <c r="O28" s="978"/>
    </row>
    <row r="29" spans="1:15" ht="15">
      <c r="A29" s="386"/>
      <c r="B29" s="316"/>
      <c r="C29" s="317"/>
      <c r="D29" s="318"/>
      <c r="E29" s="319"/>
      <c r="F29" s="317"/>
      <c r="G29" s="318"/>
      <c r="H29" s="319"/>
      <c r="I29" s="320"/>
      <c r="J29" s="321"/>
      <c r="K29" s="322"/>
      <c r="L29" s="323"/>
      <c r="M29" s="324">
        <f>SUM(M26:M28)</f>
        <v>95.28</v>
      </c>
      <c r="N29" s="330" t="str">
        <f>VLOOKUP(A25,ORÇ!$C$1:$I$158,3,0)</f>
        <v>m3</v>
      </c>
      <c r="O29" s="978"/>
    </row>
    <row r="30" spans="1:33" ht="15">
      <c r="A30" s="384" t="str">
        <f>ORÇ!C16</f>
        <v>1.2</v>
      </c>
      <c r="B30" s="327" t="str">
        <f>VLOOKUP(A30,ORÇ!$C$1:$I$158,2,0)</f>
        <v>TERRAPLANAGEM</v>
      </c>
      <c r="C30" s="306"/>
      <c r="D30" s="307"/>
      <c r="E30" s="308"/>
      <c r="F30" s="306"/>
      <c r="G30" s="307"/>
      <c r="H30" s="308"/>
      <c r="I30" s="309"/>
      <c r="J30" s="310"/>
      <c r="K30" s="311"/>
      <c r="L30" s="312"/>
      <c r="M30" s="311"/>
      <c r="N30" s="306"/>
      <c r="O30" s="410"/>
      <c r="P30" s="313"/>
      <c r="Q30" s="313"/>
      <c r="R30" s="313"/>
      <c r="S30" s="313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</row>
    <row r="31" spans="1:16" ht="36">
      <c r="A31" s="430" t="str">
        <f>ORÇ!C17</f>
        <v>1.2.1</v>
      </c>
      <c r="B31" s="615" t="str">
        <f>VLOOKUP(A31,ORÇ!$C$1:$I$158,2,0)</f>
        <v>Escavação, carga e transporte de material de 1ª categoria - DMT de 50 a 200 m - caminho de serviço em revestimento primário - com escavadeira e caminhão basculante de 14 m³</v>
      </c>
      <c r="C31" s="964"/>
      <c r="D31" s="985"/>
      <c r="E31" s="992"/>
      <c r="F31" s="964"/>
      <c r="G31" s="985"/>
      <c r="H31" s="992"/>
      <c r="I31" s="431"/>
      <c r="J31" s="432"/>
      <c r="K31" s="433"/>
      <c r="L31" s="434"/>
      <c r="M31" s="433" t="s">
        <v>225</v>
      </c>
      <c r="N31" s="616"/>
      <c r="O31" s="961" t="s">
        <v>450</v>
      </c>
      <c r="P31" s="409">
        <f>M33</f>
        <v>200.95219999999983</v>
      </c>
    </row>
    <row r="32" spans="1:15" ht="15">
      <c r="A32" s="385"/>
      <c r="B32" s="349"/>
      <c r="C32" s="315"/>
      <c r="D32" s="587"/>
      <c r="E32" s="588"/>
      <c r="F32" s="586"/>
      <c r="G32" s="587"/>
      <c r="H32" s="588"/>
      <c r="I32" s="346"/>
      <c r="J32" s="347"/>
      <c r="K32" s="347"/>
      <c r="L32" s="348"/>
      <c r="M32" s="347">
        <v>200.95219999999983</v>
      </c>
      <c r="N32" s="334" t="str">
        <f>N33</f>
        <v>m³</v>
      </c>
      <c r="O32" s="962"/>
    </row>
    <row r="33" spans="1:15" ht="15">
      <c r="A33" s="386"/>
      <c r="B33" s="316"/>
      <c r="C33" s="317"/>
      <c r="D33" s="318"/>
      <c r="E33" s="319"/>
      <c r="F33" s="317"/>
      <c r="G33" s="318"/>
      <c r="H33" s="319"/>
      <c r="I33" s="320"/>
      <c r="J33" s="321"/>
      <c r="K33" s="322"/>
      <c r="L33" s="323"/>
      <c r="M33" s="324">
        <f>SUM(M32)</f>
        <v>200.95219999999983</v>
      </c>
      <c r="N33" s="330" t="str">
        <f>VLOOKUP(A31,ORÇ!$C$1:$I$158,3,0)</f>
        <v>m³</v>
      </c>
      <c r="O33" s="962"/>
    </row>
    <row r="34" spans="1:16" ht="24">
      <c r="A34" s="385" t="str">
        <f>ORÇ!C18</f>
        <v>1.2.2</v>
      </c>
      <c r="B34" s="315" t="str">
        <f>VLOOKUP(A34,ORÇ!$C$1:$I$158,2,0)</f>
        <v>Transporte com caminhão basculante de 6 m³ - rodovia pavimentada (P=7,35km)</v>
      </c>
      <c r="C34" s="974"/>
      <c r="D34" s="975"/>
      <c r="E34" s="976"/>
      <c r="F34" s="974"/>
      <c r="G34" s="975"/>
      <c r="H34" s="976"/>
      <c r="I34" s="346"/>
      <c r="J34" s="326" t="s">
        <v>373</v>
      </c>
      <c r="K34" s="347" t="s">
        <v>235</v>
      </c>
      <c r="L34" s="348" t="s">
        <v>375</v>
      </c>
      <c r="M34" s="347" t="s">
        <v>225</v>
      </c>
      <c r="N34" s="329"/>
      <c r="O34" s="962"/>
      <c r="P34" s="409">
        <f>M36</f>
        <v>2769.3725062499975</v>
      </c>
    </row>
    <row r="35" spans="1:15" ht="15">
      <c r="A35" s="385"/>
      <c r="B35" s="349"/>
      <c r="C35" s="315"/>
      <c r="D35" s="587"/>
      <c r="E35" s="588"/>
      <c r="F35" s="586"/>
      <c r="G35" s="587"/>
      <c r="H35" s="588"/>
      <c r="I35" s="346"/>
      <c r="J35" s="347">
        <f>M33</f>
        <v>200.95219999999983</v>
      </c>
      <c r="K35" s="518">
        <v>1.875</v>
      </c>
      <c r="L35" s="542">
        <v>7.35</v>
      </c>
      <c r="M35" s="347">
        <f>K35*L35*J35</f>
        <v>2769.3725062499975</v>
      </c>
      <c r="N35" s="334" t="str">
        <f>N36</f>
        <v>tkm</v>
      </c>
      <c r="O35" s="962"/>
    </row>
    <row r="36" spans="1:15" ht="15">
      <c r="A36" s="386"/>
      <c r="B36" s="316"/>
      <c r="C36" s="317"/>
      <c r="D36" s="318"/>
      <c r="E36" s="319"/>
      <c r="F36" s="317"/>
      <c r="G36" s="318"/>
      <c r="H36" s="319"/>
      <c r="I36" s="320"/>
      <c r="J36" s="321"/>
      <c r="K36" s="322"/>
      <c r="L36" s="323"/>
      <c r="M36" s="324">
        <f>SUM(M35)</f>
        <v>2769.3725062499975</v>
      </c>
      <c r="N36" s="330" t="str">
        <f>VLOOKUP(A34,ORÇ!$C$1:$I$158,3,0)</f>
        <v>tkm</v>
      </c>
      <c r="O36" s="962"/>
    </row>
    <row r="37" spans="1:16" ht="24">
      <c r="A37" s="385" t="str">
        <f>ORÇ!C19</f>
        <v>1.2.3</v>
      </c>
      <c r="B37" s="315" t="str">
        <f>VLOOKUP(A37,ORÇ!$C$1:$I$158,2,0)</f>
        <v>Transporte com caminhão basculante de 6 m³ - rodovia em revestimento primário (RP=2,95km)</v>
      </c>
      <c r="C37" s="974"/>
      <c r="D37" s="975"/>
      <c r="E37" s="976"/>
      <c r="F37" s="974"/>
      <c r="G37" s="975"/>
      <c r="H37" s="976"/>
      <c r="I37" s="346"/>
      <c r="J37" s="326" t="s">
        <v>373</v>
      </c>
      <c r="K37" s="347" t="s">
        <v>235</v>
      </c>
      <c r="L37" s="348" t="s">
        <v>375</v>
      </c>
      <c r="M37" s="347" t="s">
        <v>225</v>
      </c>
      <c r="N37" s="329"/>
      <c r="O37" s="962"/>
      <c r="P37" s="409">
        <f>M39</f>
        <v>1111.5168562499991</v>
      </c>
    </row>
    <row r="38" spans="1:15" ht="15">
      <c r="A38" s="385"/>
      <c r="B38" s="349"/>
      <c r="C38" s="315"/>
      <c r="D38" s="587"/>
      <c r="E38" s="588"/>
      <c r="F38" s="586"/>
      <c r="G38" s="587"/>
      <c r="H38" s="588"/>
      <c r="I38" s="346"/>
      <c r="J38" s="347">
        <f>M33</f>
        <v>200.95219999999983</v>
      </c>
      <c r="K38" s="518">
        <v>1.875</v>
      </c>
      <c r="L38" s="348">
        <v>2.95</v>
      </c>
      <c r="M38" s="347">
        <f>K38*L38*J38</f>
        <v>1111.5168562499991</v>
      </c>
      <c r="N38" s="334" t="str">
        <f>N39</f>
        <v>tkm</v>
      </c>
      <c r="O38" s="962"/>
    </row>
    <row r="39" spans="1:15" ht="15">
      <c r="A39" s="386"/>
      <c r="B39" s="316"/>
      <c r="C39" s="317"/>
      <c r="D39" s="318"/>
      <c r="E39" s="319"/>
      <c r="F39" s="317"/>
      <c r="G39" s="318"/>
      <c r="H39" s="319"/>
      <c r="I39" s="320"/>
      <c r="J39" s="321"/>
      <c r="K39" s="322"/>
      <c r="L39" s="323"/>
      <c r="M39" s="324">
        <f>SUM(M38)</f>
        <v>1111.5168562499991</v>
      </c>
      <c r="N39" s="330" t="str">
        <f>VLOOKUP(A37,ORÇ!$C$1:$I$158,3,0)</f>
        <v>tkm</v>
      </c>
      <c r="O39" s="962"/>
    </row>
    <row r="40" spans="1:16" ht="15">
      <c r="A40" s="385" t="str">
        <f>ORÇ!C20</f>
        <v>1.2.4</v>
      </c>
      <c r="B40" s="315" t="str">
        <f>VLOOKUP(A40,ORÇ!$C$1:$I$158,2,0)</f>
        <v>Regularização de bota-fora com espalhamento e compactação</v>
      </c>
      <c r="C40" s="974"/>
      <c r="D40" s="975"/>
      <c r="E40" s="976"/>
      <c r="F40" s="974"/>
      <c r="G40" s="975"/>
      <c r="H40" s="976"/>
      <c r="I40" s="346"/>
      <c r="J40" s="326"/>
      <c r="K40" s="347"/>
      <c r="L40" s="348"/>
      <c r="M40" s="347" t="s">
        <v>225</v>
      </c>
      <c r="N40" s="329"/>
      <c r="O40" s="962"/>
      <c r="P40" s="409">
        <f>M42</f>
        <v>200.95219999999983</v>
      </c>
    </row>
    <row r="41" spans="1:15" ht="15">
      <c r="A41" s="385"/>
      <c r="B41" s="349"/>
      <c r="C41" s="315"/>
      <c r="D41" s="587"/>
      <c r="E41" s="588"/>
      <c r="F41" s="586"/>
      <c r="G41" s="587"/>
      <c r="H41" s="588"/>
      <c r="I41" s="346"/>
      <c r="J41" s="347"/>
      <c r="K41" s="347"/>
      <c r="L41" s="348"/>
      <c r="M41" s="347">
        <v>200.95219999999983</v>
      </c>
      <c r="N41" s="334" t="str">
        <f>N42</f>
        <v>m³</v>
      </c>
      <c r="O41" s="962"/>
    </row>
    <row r="42" spans="1:15" ht="15">
      <c r="A42" s="419"/>
      <c r="B42" s="420"/>
      <c r="C42" s="421"/>
      <c r="D42" s="422"/>
      <c r="E42" s="423"/>
      <c r="F42" s="421"/>
      <c r="G42" s="422"/>
      <c r="H42" s="423"/>
      <c r="I42" s="424"/>
      <c r="J42" s="425"/>
      <c r="K42" s="426"/>
      <c r="L42" s="427"/>
      <c r="M42" s="428">
        <f>SUM(M41)</f>
        <v>200.95219999999983</v>
      </c>
      <c r="N42" s="429" t="str">
        <f>VLOOKUP(A40,ORÇ!$C$1:$I$158,3,0)</f>
        <v>m³</v>
      </c>
      <c r="O42" s="968"/>
    </row>
    <row r="43" spans="1:33" ht="15">
      <c r="A43" s="606" t="str">
        <f>ORÇ!C23</f>
        <v>2.0</v>
      </c>
      <c r="B43" s="607" t="str">
        <f>VLOOKUP(A43,ORÇ!$C$1:$I$158,2,0)</f>
        <v>DRENAGEM E O.A.C.</v>
      </c>
      <c r="C43" s="608"/>
      <c r="D43" s="609"/>
      <c r="E43" s="610"/>
      <c r="F43" s="608"/>
      <c r="G43" s="609"/>
      <c r="H43" s="610"/>
      <c r="I43" s="611"/>
      <c r="J43" s="612"/>
      <c r="K43" s="613"/>
      <c r="L43" s="614"/>
      <c r="M43" s="613"/>
      <c r="N43" s="608"/>
      <c r="O43" s="411"/>
      <c r="P43" s="313"/>
      <c r="Q43" s="313"/>
      <c r="R43" s="313"/>
      <c r="S43" s="313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</row>
    <row r="44" spans="1:33" ht="15">
      <c r="A44" s="384" t="str">
        <f>ORÇ!C24</f>
        <v>2.1</v>
      </c>
      <c r="B44" s="327" t="str">
        <f>VLOOKUP(A44,ORÇ!$C$1:$I$158,2,0)</f>
        <v>SERVIÇOS PRELIMINARES, REPAROS, REMOÇÕES, SUBSTITUIÇÕES E REMANEJAMENTOS</v>
      </c>
      <c r="C44" s="306"/>
      <c r="D44" s="307"/>
      <c r="E44" s="308"/>
      <c r="F44" s="306"/>
      <c r="G44" s="307"/>
      <c r="H44" s="308"/>
      <c r="I44" s="309"/>
      <c r="J44" s="310"/>
      <c r="K44" s="311"/>
      <c r="L44" s="312"/>
      <c r="M44" s="311"/>
      <c r="N44" s="306"/>
      <c r="O44" s="410"/>
      <c r="P44" s="313"/>
      <c r="Q44" s="313"/>
      <c r="R44" s="313"/>
      <c r="S44" s="313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</row>
    <row r="45" spans="1:16" ht="24">
      <c r="A45" s="385" t="str">
        <f>ORÇ!C25</f>
        <v>2.1.1</v>
      </c>
      <c r="B45" s="315" t="str">
        <f>VLOOKUP(A45,ORÇ!$C$1:$I$158,2,0)</f>
        <v>Serviços de Limpeza com Caminhão SEWER JET (desobstrução de redes)</v>
      </c>
      <c r="C45" s="974"/>
      <c r="D45" s="975"/>
      <c r="E45" s="976"/>
      <c r="F45" s="974"/>
      <c r="G45" s="975"/>
      <c r="H45" s="976"/>
      <c r="I45" s="346"/>
      <c r="J45" s="326"/>
      <c r="K45" s="347" t="s">
        <v>231</v>
      </c>
      <c r="L45" s="348" t="s">
        <v>230</v>
      </c>
      <c r="M45" s="347" t="s">
        <v>225</v>
      </c>
      <c r="N45" s="329"/>
      <c r="O45" s="978" t="s">
        <v>279</v>
      </c>
      <c r="P45" s="409">
        <f>M47</f>
        <v>56</v>
      </c>
    </row>
    <row r="46" spans="1:15" ht="15">
      <c r="A46" s="385"/>
      <c r="B46" s="349"/>
      <c r="C46" s="315"/>
      <c r="D46" s="325"/>
      <c r="E46" s="350"/>
      <c r="F46" s="383"/>
      <c r="G46" s="325"/>
      <c r="H46" s="350"/>
      <c r="I46" s="346"/>
      <c r="J46" s="347"/>
      <c r="K46" s="347">
        <v>8</v>
      </c>
      <c r="L46" s="348">
        <v>7</v>
      </c>
      <c r="M46" s="347">
        <f>K46*L46</f>
        <v>56</v>
      </c>
      <c r="N46" s="334" t="str">
        <f>$N$47</f>
        <v>h</v>
      </c>
      <c r="O46" s="978"/>
    </row>
    <row r="47" spans="1:15" ht="15">
      <c r="A47" s="386"/>
      <c r="B47" s="316"/>
      <c r="C47" s="317"/>
      <c r="D47" s="318"/>
      <c r="E47" s="319"/>
      <c r="F47" s="317"/>
      <c r="G47" s="318"/>
      <c r="H47" s="319"/>
      <c r="I47" s="320"/>
      <c r="J47" s="321"/>
      <c r="K47" s="322"/>
      <c r="L47" s="323"/>
      <c r="M47" s="324">
        <f>SUM(M46)</f>
        <v>56</v>
      </c>
      <c r="N47" s="330" t="str">
        <f>VLOOKUP(A45,ORÇ!$C$1:$I$158,3,0)</f>
        <v>h</v>
      </c>
      <c r="O47" s="978"/>
    </row>
    <row r="48" spans="1:16" ht="24">
      <c r="A48" s="385" t="str">
        <f>ORÇ!C26</f>
        <v>2.1.2</v>
      </c>
      <c r="B48" s="315" t="str">
        <f>VLOOKUP(A48,ORÇ!$C$1:$I$158,2,0)</f>
        <v>Recuperação de poço de visita inclusive fornecimento tampão F.F.A.P., em Vias Urbanas</v>
      </c>
      <c r="C48" s="964" t="s">
        <v>234</v>
      </c>
      <c r="D48" s="965"/>
      <c r="E48" s="966"/>
      <c r="F48" s="964"/>
      <c r="G48" s="965"/>
      <c r="H48" s="966"/>
      <c r="I48" s="346" t="s">
        <v>222</v>
      </c>
      <c r="J48" s="326"/>
      <c r="K48" s="347"/>
      <c r="L48" s="348"/>
      <c r="M48" s="347" t="s">
        <v>225</v>
      </c>
      <c r="N48" s="329"/>
      <c r="O48" s="967" t="s">
        <v>233</v>
      </c>
      <c r="P48" s="409">
        <f>M56</f>
        <v>17</v>
      </c>
    </row>
    <row r="49" spans="1:15" ht="15">
      <c r="A49" s="385"/>
      <c r="B49" s="349"/>
      <c r="C49" s="383">
        <v>0</v>
      </c>
      <c r="D49" s="325" t="s">
        <v>286</v>
      </c>
      <c r="E49" s="350">
        <v>10</v>
      </c>
      <c r="F49" s="383"/>
      <c r="G49" s="325"/>
      <c r="H49" s="350"/>
      <c r="I49" s="346" t="s">
        <v>287</v>
      </c>
      <c r="J49" s="326"/>
      <c r="K49" s="347"/>
      <c r="L49" s="348"/>
      <c r="M49" s="347">
        <v>2</v>
      </c>
      <c r="N49" s="334" t="str">
        <f aca="true" t="shared" si="0" ref="N49:N55">$N$56</f>
        <v>Ud</v>
      </c>
      <c r="O49" s="962"/>
    </row>
    <row r="50" spans="1:15" ht="15">
      <c r="A50" s="385"/>
      <c r="B50" s="349"/>
      <c r="C50" s="471">
        <v>2</v>
      </c>
      <c r="D50" s="472" t="s">
        <v>286</v>
      </c>
      <c r="E50" s="473">
        <v>15</v>
      </c>
      <c r="F50" s="471"/>
      <c r="G50" s="472"/>
      <c r="H50" s="473"/>
      <c r="I50" s="346" t="s">
        <v>287</v>
      </c>
      <c r="J50" s="326"/>
      <c r="K50" s="347"/>
      <c r="L50" s="348"/>
      <c r="M50" s="347">
        <v>4</v>
      </c>
      <c r="N50" s="334" t="str">
        <f t="shared" si="0"/>
        <v>Ud</v>
      </c>
      <c r="O50" s="962"/>
    </row>
    <row r="51" spans="1:15" ht="15">
      <c r="A51" s="385"/>
      <c r="B51" s="349"/>
      <c r="C51" s="471">
        <v>101</v>
      </c>
      <c r="D51" s="472" t="s">
        <v>286</v>
      </c>
      <c r="E51" s="473">
        <v>4</v>
      </c>
      <c r="F51" s="471"/>
      <c r="G51" s="472"/>
      <c r="H51" s="473"/>
      <c r="I51" s="346" t="s">
        <v>288</v>
      </c>
      <c r="J51" s="326"/>
      <c r="K51" s="347"/>
      <c r="L51" s="348"/>
      <c r="M51" s="347">
        <v>1</v>
      </c>
      <c r="N51" s="334" t="str">
        <f t="shared" si="0"/>
        <v>Ud</v>
      </c>
      <c r="O51" s="962"/>
    </row>
    <row r="52" spans="1:15" ht="15">
      <c r="A52" s="385"/>
      <c r="B52" s="349"/>
      <c r="C52" s="471">
        <v>102</v>
      </c>
      <c r="D52" s="472" t="s">
        <v>286</v>
      </c>
      <c r="E52" s="473">
        <v>0</v>
      </c>
      <c r="F52" s="471"/>
      <c r="G52" s="472"/>
      <c r="H52" s="473"/>
      <c r="I52" s="346" t="s">
        <v>288</v>
      </c>
      <c r="J52" s="326"/>
      <c r="K52" s="347"/>
      <c r="L52" s="348"/>
      <c r="M52" s="347">
        <v>1</v>
      </c>
      <c r="N52" s="334" t="str">
        <f t="shared" si="0"/>
        <v>Ud</v>
      </c>
      <c r="O52" s="962"/>
    </row>
    <row r="53" spans="1:15" ht="15">
      <c r="A53" s="385"/>
      <c r="B53" s="349"/>
      <c r="C53" s="471">
        <v>103</v>
      </c>
      <c r="D53" s="472" t="s">
        <v>286</v>
      </c>
      <c r="E53" s="473">
        <v>5</v>
      </c>
      <c r="F53" s="471"/>
      <c r="G53" s="472"/>
      <c r="H53" s="473"/>
      <c r="I53" s="346" t="s">
        <v>288</v>
      </c>
      <c r="J53" s="326"/>
      <c r="K53" s="347"/>
      <c r="L53" s="348"/>
      <c r="M53" s="347">
        <v>7</v>
      </c>
      <c r="N53" s="334" t="str">
        <f t="shared" si="0"/>
        <v>Ud</v>
      </c>
      <c r="O53" s="962"/>
    </row>
    <row r="54" spans="1:15" ht="15">
      <c r="A54" s="385"/>
      <c r="B54" s="349"/>
      <c r="C54" s="471">
        <v>105</v>
      </c>
      <c r="D54" s="472" t="s">
        <v>286</v>
      </c>
      <c r="E54" s="473">
        <v>3</v>
      </c>
      <c r="F54" s="471"/>
      <c r="G54" s="472"/>
      <c r="H54" s="473"/>
      <c r="I54" s="346" t="s">
        <v>287</v>
      </c>
      <c r="J54" s="326"/>
      <c r="K54" s="347"/>
      <c r="L54" s="348"/>
      <c r="M54" s="347">
        <v>1</v>
      </c>
      <c r="N54" s="334" t="str">
        <f t="shared" si="0"/>
        <v>Ud</v>
      </c>
      <c r="O54" s="962"/>
    </row>
    <row r="55" spans="1:15" ht="15">
      <c r="A55" s="385"/>
      <c r="B55" s="349"/>
      <c r="C55" s="471">
        <v>200</v>
      </c>
      <c r="D55" s="472" t="s">
        <v>286</v>
      </c>
      <c r="E55" s="473">
        <v>12</v>
      </c>
      <c r="F55" s="471"/>
      <c r="G55" s="472"/>
      <c r="H55" s="473"/>
      <c r="I55" s="346" t="s">
        <v>288</v>
      </c>
      <c r="J55" s="326"/>
      <c r="K55" s="347"/>
      <c r="L55" s="348"/>
      <c r="M55" s="347">
        <v>1</v>
      </c>
      <c r="N55" s="334" t="str">
        <f t="shared" si="0"/>
        <v>Ud</v>
      </c>
      <c r="O55" s="962"/>
    </row>
    <row r="56" spans="1:15" ht="15">
      <c r="A56" s="386"/>
      <c r="B56" s="316"/>
      <c r="C56" s="317"/>
      <c r="D56" s="318"/>
      <c r="E56" s="319"/>
      <c r="F56" s="317"/>
      <c r="G56" s="318"/>
      <c r="H56" s="319"/>
      <c r="I56" s="320"/>
      <c r="J56" s="321"/>
      <c r="K56" s="322"/>
      <c r="L56" s="323"/>
      <c r="M56" s="324">
        <f>SUM(M49:M55)</f>
        <v>17</v>
      </c>
      <c r="N56" s="330" t="str">
        <f>VLOOKUP(A48,ORÇ!$C$1:$I$158,3,0)</f>
        <v>Ud</v>
      </c>
      <c r="O56" s="968"/>
    </row>
    <row r="57" spans="1:33" ht="36">
      <c r="A57" s="385" t="str">
        <f>ORÇ!$C$27</f>
        <v>2.1.3</v>
      </c>
      <c r="B57" s="315" t="str">
        <f>VLOOKUP(A57,ORÇ!$C$1:$I$158,2,0)</f>
        <v>Nivelamento de Poço de Visita com o nível do revestimento após pavimentação, constando de arrancamento do anel existente, levantamento do pescoço e chumbação do tampão</v>
      </c>
      <c r="C57" s="974" t="s">
        <v>234</v>
      </c>
      <c r="D57" s="975"/>
      <c r="E57" s="976"/>
      <c r="F57" s="974"/>
      <c r="G57" s="975"/>
      <c r="H57" s="976"/>
      <c r="I57" s="346" t="s">
        <v>222</v>
      </c>
      <c r="J57" s="326"/>
      <c r="K57" s="347"/>
      <c r="L57" s="348"/>
      <c r="M57" s="347" t="s">
        <v>225</v>
      </c>
      <c r="N57" s="329"/>
      <c r="O57" s="972" t="s">
        <v>232</v>
      </c>
      <c r="P57" s="313">
        <f>M59</f>
        <v>17</v>
      </c>
      <c r="Q57" s="313"/>
      <c r="R57" s="313"/>
      <c r="S57" s="313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</row>
    <row r="58" spans="1:33" ht="15">
      <c r="A58" s="385"/>
      <c r="B58" s="365" t="str">
        <f>_xlfn.CONCAT("Item ",A48)</f>
        <v>Item 2.1.2</v>
      </c>
      <c r="C58" s="383"/>
      <c r="D58" s="325"/>
      <c r="E58" s="350"/>
      <c r="F58" s="383"/>
      <c r="G58" s="325"/>
      <c r="H58" s="350"/>
      <c r="I58" s="346"/>
      <c r="J58" s="326"/>
      <c r="K58" s="347"/>
      <c r="L58" s="348"/>
      <c r="M58" s="347">
        <f>M56</f>
        <v>17</v>
      </c>
      <c r="N58" s="334" t="str">
        <f>$N$59</f>
        <v>un</v>
      </c>
      <c r="O58" s="970"/>
      <c r="P58" s="313"/>
      <c r="Q58" s="313"/>
      <c r="R58" s="313"/>
      <c r="S58" s="313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</row>
    <row r="59" spans="1:33" ht="15">
      <c r="A59" s="386"/>
      <c r="B59" s="316"/>
      <c r="C59" s="317"/>
      <c r="D59" s="318"/>
      <c r="E59" s="319"/>
      <c r="F59" s="317"/>
      <c r="G59" s="318"/>
      <c r="H59" s="319"/>
      <c r="I59" s="320"/>
      <c r="J59" s="321"/>
      <c r="K59" s="322"/>
      <c r="L59" s="323"/>
      <c r="M59" s="324">
        <f>SUM(M58:M58)</f>
        <v>17</v>
      </c>
      <c r="N59" s="330" t="str">
        <f>ORÇ!E27</f>
        <v>un</v>
      </c>
      <c r="O59" s="971"/>
      <c r="P59" s="313"/>
      <c r="Q59" s="313"/>
      <c r="R59" s="313"/>
      <c r="S59" s="313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</row>
    <row r="60" spans="1:33" ht="15" customHeight="1">
      <c r="A60" s="385" t="str">
        <f>ORÇ!C28</f>
        <v>2.1.4</v>
      </c>
      <c r="B60" s="315" t="str">
        <f>VLOOKUP(A60,ORÇ!$C$1:$I$158,2,0)</f>
        <v>Remanejamento de ligação e religação de redes de esgoto</v>
      </c>
      <c r="C60" s="964"/>
      <c r="D60" s="965"/>
      <c r="E60" s="966"/>
      <c r="F60" s="964"/>
      <c r="G60" s="965"/>
      <c r="H60" s="966"/>
      <c r="I60" s="346"/>
      <c r="J60" s="326"/>
      <c r="K60" s="347"/>
      <c r="L60" s="348"/>
      <c r="M60" s="347" t="s">
        <v>225</v>
      </c>
      <c r="N60" s="333"/>
      <c r="O60" s="970" t="s">
        <v>451</v>
      </c>
      <c r="P60" s="313">
        <f>M62</f>
        <v>50</v>
      </c>
      <c r="Q60" s="313"/>
      <c r="R60" s="313"/>
      <c r="S60" s="313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</row>
    <row r="61" spans="1:33" ht="15">
      <c r="A61" s="385"/>
      <c r="B61" s="349"/>
      <c r="C61" s="383"/>
      <c r="D61" s="325"/>
      <c r="E61" s="350"/>
      <c r="F61" s="383"/>
      <c r="G61" s="325"/>
      <c r="H61" s="350"/>
      <c r="I61" s="346"/>
      <c r="J61" s="347"/>
      <c r="K61" s="347"/>
      <c r="L61" s="331"/>
      <c r="M61" s="347">
        <v>50</v>
      </c>
      <c r="N61" s="334" t="str">
        <f>N62</f>
        <v>M</v>
      </c>
      <c r="O61" s="970"/>
      <c r="P61" s="313"/>
      <c r="Q61" s="313"/>
      <c r="R61" s="313"/>
      <c r="S61" s="313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</row>
    <row r="62" spans="1:33" ht="15">
      <c r="A62" s="386"/>
      <c r="B62" s="316"/>
      <c r="C62" s="317"/>
      <c r="D62" s="318"/>
      <c r="E62" s="319"/>
      <c r="F62" s="317"/>
      <c r="G62" s="318"/>
      <c r="H62" s="319"/>
      <c r="I62" s="320"/>
      <c r="J62" s="321"/>
      <c r="K62" s="322"/>
      <c r="L62" s="323"/>
      <c r="M62" s="324">
        <f>SUM(M61:M61)</f>
        <v>50</v>
      </c>
      <c r="N62" s="330" t="str">
        <f>ORÇ!E28</f>
        <v>M</v>
      </c>
      <c r="O62" s="970"/>
      <c r="P62" s="313"/>
      <c r="Q62" s="313"/>
      <c r="R62" s="313"/>
      <c r="S62" s="313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</row>
    <row r="63" spans="1:33" ht="24" customHeight="1">
      <c r="A63" s="385" t="str">
        <f>ORÇ!C29</f>
        <v>2.1.5</v>
      </c>
      <c r="B63" s="315" t="str">
        <f>VLOOKUP(A63,ORÇ!$C$1:$I$158,2,0)</f>
        <v>Religação de rede de água em PVC DN 20 mm, inclusive conexões, em Vias Urbanas</v>
      </c>
      <c r="C63" s="964"/>
      <c r="D63" s="965"/>
      <c r="E63" s="966"/>
      <c r="F63" s="964"/>
      <c r="G63" s="965"/>
      <c r="H63" s="966"/>
      <c r="I63" s="346"/>
      <c r="J63" s="326"/>
      <c r="K63" s="347"/>
      <c r="L63" s="348"/>
      <c r="M63" s="347" t="s">
        <v>225</v>
      </c>
      <c r="N63" s="333"/>
      <c r="O63" s="970"/>
      <c r="P63" s="313">
        <f>M65</f>
        <v>50</v>
      </c>
      <c r="Q63" s="313"/>
      <c r="R63" s="313"/>
      <c r="S63" s="313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</row>
    <row r="64" spans="1:33" ht="15">
      <c r="A64" s="385"/>
      <c r="B64" s="349"/>
      <c r="C64" s="383"/>
      <c r="D64" s="325"/>
      <c r="E64" s="350"/>
      <c r="F64" s="383"/>
      <c r="G64" s="325"/>
      <c r="H64" s="350"/>
      <c r="I64" s="346"/>
      <c r="J64" s="347"/>
      <c r="K64" s="347"/>
      <c r="L64" s="331"/>
      <c r="M64" s="347">
        <v>50</v>
      </c>
      <c r="N64" s="334" t="str">
        <f>N65</f>
        <v>M</v>
      </c>
      <c r="O64" s="970"/>
      <c r="P64" s="313"/>
      <c r="Q64" s="313"/>
      <c r="R64" s="313"/>
      <c r="S64" s="313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</row>
    <row r="65" spans="1:33" ht="15">
      <c r="A65" s="386"/>
      <c r="B65" s="316"/>
      <c r="C65" s="317"/>
      <c r="D65" s="318"/>
      <c r="E65" s="319"/>
      <c r="F65" s="317"/>
      <c r="G65" s="318"/>
      <c r="H65" s="319"/>
      <c r="I65" s="320"/>
      <c r="J65" s="321"/>
      <c r="K65" s="322"/>
      <c r="L65" s="323"/>
      <c r="M65" s="324">
        <f>SUM(M64:M64)</f>
        <v>50</v>
      </c>
      <c r="N65" s="330" t="str">
        <f>ORÇ!E29</f>
        <v>M</v>
      </c>
      <c r="O65" s="970"/>
      <c r="P65" s="313"/>
      <c r="Q65" s="313"/>
      <c r="R65" s="313"/>
      <c r="S65" s="313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</row>
    <row r="66" spans="1:33" ht="24" customHeight="1">
      <c r="A66" s="385" t="str">
        <f>ORÇ!C30</f>
        <v>2.1.6</v>
      </c>
      <c r="B66" s="315" t="str">
        <f>VLOOKUP(A66,ORÇ!$C$1:$I$158,2,0)</f>
        <v>Religação de rede de água em PVC DN 32mm, incluisve conexões</v>
      </c>
      <c r="C66" s="964"/>
      <c r="D66" s="965"/>
      <c r="E66" s="966"/>
      <c r="F66" s="964"/>
      <c r="G66" s="965"/>
      <c r="H66" s="966"/>
      <c r="I66" s="346"/>
      <c r="J66" s="326"/>
      <c r="K66" s="347"/>
      <c r="L66" s="348"/>
      <c r="M66" s="347" t="s">
        <v>225</v>
      </c>
      <c r="N66" s="333"/>
      <c r="O66" s="970"/>
      <c r="P66" s="313">
        <f>M68</f>
        <v>50</v>
      </c>
      <c r="Q66" s="313"/>
      <c r="R66" s="313"/>
      <c r="S66" s="313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</row>
    <row r="67" spans="1:33" ht="15">
      <c r="A67" s="385"/>
      <c r="B67" s="349"/>
      <c r="C67" s="383"/>
      <c r="D67" s="325"/>
      <c r="E67" s="350"/>
      <c r="F67" s="383"/>
      <c r="G67" s="325"/>
      <c r="H67" s="350"/>
      <c r="I67" s="346"/>
      <c r="J67" s="347"/>
      <c r="K67" s="347"/>
      <c r="L67" s="331"/>
      <c r="M67" s="347">
        <v>50</v>
      </c>
      <c r="N67" s="334" t="str">
        <f>N68</f>
        <v>M</v>
      </c>
      <c r="O67" s="970"/>
      <c r="P67" s="313"/>
      <c r="Q67" s="313"/>
      <c r="R67" s="313"/>
      <c r="S67" s="313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</row>
    <row r="68" spans="1:33" ht="15">
      <c r="A68" s="386"/>
      <c r="B68" s="316"/>
      <c r="C68" s="317"/>
      <c r="D68" s="318"/>
      <c r="E68" s="319"/>
      <c r="F68" s="317"/>
      <c r="G68" s="318"/>
      <c r="H68" s="319"/>
      <c r="I68" s="320"/>
      <c r="J68" s="321"/>
      <c r="K68" s="322"/>
      <c r="L68" s="323"/>
      <c r="M68" s="324">
        <f>SUM(M67:M67)</f>
        <v>50</v>
      </c>
      <c r="N68" s="330" t="str">
        <f>ORÇ!E30</f>
        <v>M</v>
      </c>
      <c r="O68" s="970"/>
      <c r="P68" s="313"/>
      <c r="Q68" s="313"/>
      <c r="R68" s="313"/>
      <c r="S68" s="313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</row>
    <row r="69" spans="1:33" ht="24" customHeight="1">
      <c r="A69" s="385" t="str">
        <f>ORÇ!C31</f>
        <v>2.1.7</v>
      </c>
      <c r="B69" s="315" t="str">
        <f>VLOOKUP(A69,ORÇ!$C$1:$I$158,2,0)</f>
        <v>Religação de rede de água em PVC DN 75 mm, inclusive conexões, em Vias Urbanas</v>
      </c>
      <c r="C69" s="964"/>
      <c r="D69" s="965"/>
      <c r="E69" s="966"/>
      <c r="F69" s="964"/>
      <c r="G69" s="965"/>
      <c r="H69" s="966"/>
      <c r="I69" s="346"/>
      <c r="J69" s="326"/>
      <c r="K69" s="347"/>
      <c r="L69" s="348"/>
      <c r="M69" s="347" t="s">
        <v>225</v>
      </c>
      <c r="N69" s="333"/>
      <c r="O69" s="970"/>
      <c r="P69" s="313">
        <f>M71</f>
        <v>50</v>
      </c>
      <c r="Q69" s="313"/>
      <c r="R69" s="313"/>
      <c r="S69" s="313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</row>
    <row r="70" spans="1:33" ht="15">
      <c r="A70" s="385"/>
      <c r="B70" s="349"/>
      <c r="C70" s="383"/>
      <c r="D70" s="325"/>
      <c r="E70" s="350"/>
      <c r="F70" s="383"/>
      <c r="G70" s="325"/>
      <c r="H70" s="350"/>
      <c r="I70" s="346"/>
      <c r="J70" s="347"/>
      <c r="K70" s="347"/>
      <c r="L70" s="331"/>
      <c r="M70" s="347">
        <v>50</v>
      </c>
      <c r="N70" s="334" t="str">
        <f>N71</f>
        <v>M</v>
      </c>
      <c r="O70" s="970"/>
      <c r="P70" s="313"/>
      <c r="Q70" s="313"/>
      <c r="R70" s="313"/>
      <c r="S70" s="313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</row>
    <row r="71" spans="1:33" ht="15">
      <c r="A71" s="386"/>
      <c r="B71" s="316"/>
      <c r="C71" s="317"/>
      <c r="D71" s="318"/>
      <c r="E71" s="319"/>
      <c r="F71" s="317"/>
      <c r="G71" s="318"/>
      <c r="H71" s="319"/>
      <c r="I71" s="320"/>
      <c r="J71" s="321"/>
      <c r="K71" s="322"/>
      <c r="L71" s="323"/>
      <c r="M71" s="324">
        <f>SUM(M70:M70)</f>
        <v>50</v>
      </c>
      <c r="N71" s="330" t="str">
        <f>ORÇ!E31</f>
        <v>M</v>
      </c>
      <c r="O71" s="971"/>
      <c r="P71" s="313"/>
      <c r="Q71" s="313"/>
      <c r="R71" s="313"/>
      <c r="S71" s="313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</row>
    <row r="72" spans="1:33" ht="15">
      <c r="A72" s="384" t="str">
        <f>ORÇ!C32</f>
        <v>2.2</v>
      </c>
      <c r="B72" s="327" t="str">
        <f>VLOOKUP(A72,ORÇ!$C$1:$I$158,2,0)</f>
        <v>ESCAVAÇÕES E MOVIMENTAÇÃO DE TERRA</v>
      </c>
      <c r="C72" s="306"/>
      <c r="D72" s="307"/>
      <c r="E72" s="308"/>
      <c r="F72" s="306"/>
      <c r="G72" s="307"/>
      <c r="H72" s="308"/>
      <c r="I72" s="309"/>
      <c r="J72" s="310"/>
      <c r="K72" s="311"/>
      <c r="L72" s="312"/>
      <c r="M72" s="311"/>
      <c r="N72" s="306"/>
      <c r="O72" s="410"/>
      <c r="P72" s="313"/>
      <c r="Q72" s="313"/>
      <c r="R72" s="313"/>
      <c r="S72" s="313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</row>
    <row r="73" spans="1:33" ht="15">
      <c r="A73" s="385" t="str">
        <f>ORÇ!C33</f>
        <v>2.2.1</v>
      </c>
      <c r="B73" s="315" t="str">
        <f>VLOOKUP(A73,ORÇ!$C$1:$I$158,2,0)</f>
        <v>Escavação mecânica de vala em material de 1ª categoria</v>
      </c>
      <c r="C73" s="964"/>
      <c r="D73" s="965"/>
      <c r="E73" s="966"/>
      <c r="F73" s="964"/>
      <c r="G73" s="965"/>
      <c r="H73" s="966"/>
      <c r="I73" s="346"/>
      <c r="J73" s="326"/>
      <c r="K73" s="347"/>
      <c r="L73" s="348"/>
      <c r="M73" s="347" t="s">
        <v>225</v>
      </c>
      <c r="N73" s="333"/>
      <c r="O73" s="969" t="s">
        <v>372</v>
      </c>
      <c r="P73" s="313">
        <f>M75</f>
        <v>57.9</v>
      </c>
      <c r="Q73" s="313"/>
      <c r="R73" s="313"/>
      <c r="S73" s="313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</row>
    <row r="74" spans="1:33" ht="15">
      <c r="A74" s="385"/>
      <c r="B74" s="349"/>
      <c r="C74" s="511"/>
      <c r="D74" s="512"/>
      <c r="E74" s="513"/>
      <c r="F74" s="511"/>
      <c r="G74" s="512"/>
      <c r="H74" s="513"/>
      <c r="I74" s="346"/>
      <c r="J74" s="347"/>
      <c r="K74" s="347"/>
      <c r="L74" s="331"/>
      <c r="M74" s="347">
        <v>57.9</v>
      </c>
      <c r="N74" s="334" t="str">
        <f>N75</f>
        <v>m³</v>
      </c>
      <c r="O74" s="970"/>
      <c r="P74" s="313"/>
      <c r="Q74" s="313"/>
      <c r="R74" s="313"/>
      <c r="S74" s="313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</row>
    <row r="75" spans="1:33" ht="15">
      <c r="A75" s="386"/>
      <c r="B75" s="316"/>
      <c r="C75" s="317"/>
      <c r="D75" s="318"/>
      <c r="E75" s="319"/>
      <c r="F75" s="317"/>
      <c r="G75" s="318"/>
      <c r="H75" s="319"/>
      <c r="I75" s="320"/>
      <c r="J75" s="321"/>
      <c r="K75" s="322"/>
      <c r="L75" s="323"/>
      <c r="M75" s="324">
        <f>SUM(M74:M74)</f>
        <v>57.9</v>
      </c>
      <c r="N75" s="330" t="str">
        <f>ORÇ!E33</f>
        <v>m³</v>
      </c>
      <c r="O75" s="970"/>
      <c r="P75" s="313"/>
      <c r="Q75" s="313"/>
      <c r="R75" s="313"/>
      <c r="S75" s="313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</row>
    <row r="76" spans="1:33" ht="24" customHeight="1">
      <c r="A76" s="385" t="str">
        <f>ORÇ!C34</f>
        <v>2.2.2</v>
      </c>
      <c r="B76" s="315" t="str">
        <f>VLOOKUP(A76,ORÇ!$C$1:$I$158,2,0)</f>
        <v>Escavação manual de vala em material de 1ª categoria</v>
      </c>
      <c r="C76" s="964"/>
      <c r="D76" s="965"/>
      <c r="E76" s="966"/>
      <c r="F76" s="964"/>
      <c r="G76" s="965"/>
      <c r="H76" s="966"/>
      <c r="I76" s="346"/>
      <c r="J76" s="326"/>
      <c r="K76" s="347"/>
      <c r="L76" s="348"/>
      <c r="M76" s="347" t="s">
        <v>225</v>
      </c>
      <c r="N76" s="333"/>
      <c r="O76" s="970"/>
      <c r="P76" s="313">
        <f>M78</f>
        <v>5.17</v>
      </c>
      <c r="Q76" s="313"/>
      <c r="R76" s="313"/>
      <c r="S76" s="313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</row>
    <row r="77" spans="1:33" ht="15">
      <c r="A77" s="385"/>
      <c r="B77" s="349"/>
      <c r="C77" s="511"/>
      <c r="D77" s="512"/>
      <c r="E77" s="513"/>
      <c r="F77" s="511"/>
      <c r="G77" s="512"/>
      <c r="H77" s="513"/>
      <c r="I77" s="346"/>
      <c r="J77" s="347"/>
      <c r="K77" s="347"/>
      <c r="L77" s="331"/>
      <c r="M77" s="347">
        <v>5.17</v>
      </c>
      <c r="N77" s="334" t="str">
        <f>N78</f>
        <v>m³</v>
      </c>
      <c r="O77" s="970"/>
      <c r="P77" s="313"/>
      <c r="Q77" s="313"/>
      <c r="R77" s="313"/>
      <c r="S77" s="313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</row>
    <row r="78" spans="1:33" ht="15">
      <c r="A78" s="386"/>
      <c r="B78" s="316"/>
      <c r="C78" s="317"/>
      <c r="D78" s="318"/>
      <c r="E78" s="319"/>
      <c r="F78" s="317"/>
      <c r="G78" s="318"/>
      <c r="H78" s="319"/>
      <c r="I78" s="320"/>
      <c r="J78" s="321"/>
      <c r="K78" s="322"/>
      <c r="L78" s="323"/>
      <c r="M78" s="324">
        <f>SUM(M77:M77)</f>
        <v>5.17</v>
      </c>
      <c r="N78" s="330" t="str">
        <f>ORÇ!E34</f>
        <v>m³</v>
      </c>
      <c r="O78" s="970"/>
      <c r="P78" s="313"/>
      <c r="Q78" s="313"/>
      <c r="R78" s="313"/>
      <c r="S78" s="313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</row>
    <row r="79" spans="1:33" ht="24" customHeight="1">
      <c r="A79" s="385" t="str">
        <f>ORÇ!C35</f>
        <v>2.2.3</v>
      </c>
      <c r="B79" s="315" t="str">
        <f>VLOOKUP(A79,ORÇ!$C$1:$I$158,2,0)</f>
        <v>Reaterro com areia e adensamento hidráulico, tudo incluído em Vias Urbanas</v>
      </c>
      <c r="C79" s="964"/>
      <c r="D79" s="965"/>
      <c r="E79" s="966"/>
      <c r="F79" s="964"/>
      <c r="G79" s="965"/>
      <c r="H79" s="966"/>
      <c r="I79" s="346"/>
      <c r="J79" s="326"/>
      <c r="K79" s="347"/>
      <c r="L79" s="348"/>
      <c r="M79" s="347" t="s">
        <v>225</v>
      </c>
      <c r="N79" s="333"/>
      <c r="O79" s="970"/>
      <c r="P79" s="313">
        <f>M81</f>
        <v>28.7</v>
      </c>
      <c r="Q79" s="313"/>
      <c r="R79" s="313"/>
      <c r="S79" s="313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</row>
    <row r="80" spans="1:33" ht="15">
      <c r="A80" s="385"/>
      <c r="B80" s="349"/>
      <c r="C80" s="511"/>
      <c r="D80" s="512"/>
      <c r="E80" s="513"/>
      <c r="F80" s="511"/>
      <c r="G80" s="512"/>
      <c r="H80" s="513"/>
      <c r="I80" s="346"/>
      <c r="J80" s="347"/>
      <c r="K80" s="347"/>
      <c r="L80" s="331"/>
      <c r="M80" s="347">
        <v>28.7</v>
      </c>
      <c r="N80" s="334" t="str">
        <f>N81</f>
        <v>m³</v>
      </c>
      <c r="O80" s="970"/>
      <c r="P80" s="313"/>
      <c r="Q80" s="313"/>
      <c r="R80" s="313"/>
      <c r="S80" s="313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</row>
    <row r="81" spans="1:33" ht="15">
      <c r="A81" s="386"/>
      <c r="B81" s="316"/>
      <c r="C81" s="317"/>
      <c r="D81" s="318"/>
      <c r="E81" s="319"/>
      <c r="F81" s="317"/>
      <c r="G81" s="318"/>
      <c r="H81" s="319"/>
      <c r="I81" s="320"/>
      <c r="J81" s="321"/>
      <c r="K81" s="322"/>
      <c r="L81" s="323"/>
      <c r="M81" s="324">
        <f>SUM(M80:M80)</f>
        <v>28.7</v>
      </c>
      <c r="N81" s="330" t="str">
        <f>ORÇ!E35</f>
        <v>m³</v>
      </c>
      <c r="O81" s="970"/>
      <c r="P81" s="313"/>
      <c r="Q81" s="313"/>
      <c r="R81" s="313"/>
      <c r="S81" s="313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</row>
    <row r="82" spans="1:33" ht="24" customHeight="1">
      <c r="A82" s="385" t="str">
        <f>ORÇ!C36</f>
        <v>2.2.4</v>
      </c>
      <c r="B82" s="315" t="str">
        <f>VLOOKUP(A82,ORÇ!$C$1:$I$158,2,0)</f>
        <v>Reaterro e compactação com soquete vibratório</v>
      </c>
      <c r="C82" s="964"/>
      <c r="D82" s="965"/>
      <c r="E82" s="966"/>
      <c r="F82" s="964"/>
      <c r="G82" s="965"/>
      <c r="H82" s="966"/>
      <c r="I82" s="346"/>
      <c r="J82" s="326"/>
      <c r="K82" s="347"/>
      <c r="L82" s="348"/>
      <c r="M82" s="347" t="s">
        <v>225</v>
      </c>
      <c r="N82" s="333"/>
      <c r="O82" s="970"/>
      <c r="P82" s="313">
        <f>M84</f>
        <v>17.28</v>
      </c>
      <c r="Q82" s="313"/>
      <c r="R82" s="313"/>
      <c r="S82" s="313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</row>
    <row r="83" spans="1:33" ht="15">
      <c r="A83" s="385"/>
      <c r="B83" s="349"/>
      <c r="C83" s="511"/>
      <c r="D83" s="512"/>
      <c r="E83" s="513"/>
      <c r="F83" s="511"/>
      <c r="G83" s="512"/>
      <c r="H83" s="513"/>
      <c r="I83" s="346"/>
      <c r="J83" s="347"/>
      <c r="K83" s="347"/>
      <c r="L83" s="331"/>
      <c r="M83" s="347">
        <v>17.28</v>
      </c>
      <c r="N83" s="334" t="str">
        <f>N84</f>
        <v>m³</v>
      </c>
      <c r="O83" s="970"/>
      <c r="P83" s="313"/>
      <c r="Q83" s="313"/>
      <c r="R83" s="313"/>
      <c r="S83" s="313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</row>
    <row r="84" spans="1:33" ht="15">
      <c r="A84" s="386"/>
      <c r="B84" s="316"/>
      <c r="C84" s="317"/>
      <c r="D84" s="318"/>
      <c r="E84" s="319"/>
      <c r="F84" s="317"/>
      <c r="G84" s="318"/>
      <c r="H84" s="319"/>
      <c r="I84" s="320"/>
      <c r="J84" s="321"/>
      <c r="K84" s="322"/>
      <c r="L84" s="323"/>
      <c r="M84" s="324">
        <f>SUM(M83:M83)</f>
        <v>17.28</v>
      </c>
      <c r="N84" s="330" t="str">
        <f>ORÇ!E36</f>
        <v>m³</v>
      </c>
      <c r="O84" s="970"/>
      <c r="P84" s="313"/>
      <c r="Q84" s="313"/>
      <c r="R84" s="313"/>
      <c r="S84" s="313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</row>
    <row r="85" spans="1:33" ht="24" customHeight="1">
      <c r="A85" s="385" t="str">
        <f>ORÇ!C37</f>
        <v>2.2.5</v>
      </c>
      <c r="B85" s="315" t="str">
        <f>VLOOKUP(A85,ORÇ!$C$1:$I$158,2,0)</f>
        <v>Regularização de bota-fora com espalhamento e compactação</v>
      </c>
      <c r="C85" s="964"/>
      <c r="D85" s="965"/>
      <c r="E85" s="966"/>
      <c r="F85" s="964"/>
      <c r="G85" s="965"/>
      <c r="H85" s="966"/>
      <c r="I85" s="346"/>
      <c r="J85" s="326"/>
      <c r="K85" s="347"/>
      <c r="L85" s="348"/>
      <c r="M85" s="347" t="s">
        <v>225</v>
      </c>
      <c r="N85" s="333"/>
      <c r="O85" s="970"/>
      <c r="P85" s="313">
        <f>M87</f>
        <v>40.63</v>
      </c>
      <c r="Q85" s="313"/>
      <c r="R85" s="313"/>
      <c r="S85" s="313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</row>
    <row r="86" spans="1:33" ht="15">
      <c r="A86" s="385"/>
      <c r="B86" s="349"/>
      <c r="C86" s="511"/>
      <c r="D86" s="512"/>
      <c r="E86" s="513"/>
      <c r="F86" s="511"/>
      <c r="G86" s="512"/>
      <c r="H86" s="513"/>
      <c r="I86" s="346"/>
      <c r="J86" s="347"/>
      <c r="K86" s="347"/>
      <c r="L86" s="331"/>
      <c r="M86" s="347">
        <v>40.63</v>
      </c>
      <c r="N86" s="334" t="str">
        <f>N87</f>
        <v>m³</v>
      </c>
      <c r="O86" s="970"/>
      <c r="P86" s="313"/>
      <c r="Q86" s="313"/>
      <c r="R86" s="313"/>
      <c r="S86" s="313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</row>
    <row r="87" spans="1:33" ht="15">
      <c r="A87" s="386"/>
      <c r="B87" s="316"/>
      <c r="C87" s="317"/>
      <c r="D87" s="318"/>
      <c r="E87" s="319"/>
      <c r="F87" s="317"/>
      <c r="G87" s="318"/>
      <c r="H87" s="319"/>
      <c r="I87" s="320"/>
      <c r="J87" s="321"/>
      <c r="K87" s="322"/>
      <c r="L87" s="323"/>
      <c r="M87" s="324">
        <f>SUM(M86:M86)</f>
        <v>40.63</v>
      </c>
      <c r="N87" s="330" t="str">
        <f>ORÇ!E37</f>
        <v>m³</v>
      </c>
      <c r="O87" s="971"/>
      <c r="P87" s="313"/>
      <c r="Q87" s="313"/>
      <c r="R87" s="313"/>
      <c r="S87" s="313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</row>
    <row r="88" spans="1:33" ht="24" customHeight="1">
      <c r="A88" s="385" t="str">
        <f>ORÇ!C38</f>
        <v>2.2.6</v>
      </c>
      <c r="B88" s="315" t="str">
        <f>VLOOKUP(A88,ORÇ!$C$1:$I$158,2,0)</f>
        <v>Carga, manobra e descarga de agregados ou solos em caminhão basculante de 6 m³ - carga com carregadeira de 1,72 m³ e descarga livre</v>
      </c>
      <c r="C88" s="964"/>
      <c r="D88" s="965"/>
      <c r="E88" s="966"/>
      <c r="F88" s="964"/>
      <c r="G88" s="965"/>
      <c r="H88" s="966"/>
      <c r="I88" s="346"/>
      <c r="J88" s="326" t="s">
        <v>373</v>
      </c>
      <c r="K88" s="347"/>
      <c r="L88" s="348" t="s">
        <v>235</v>
      </c>
      <c r="M88" s="347" t="s">
        <v>225</v>
      </c>
      <c r="N88" s="333"/>
      <c r="O88" s="972" t="s">
        <v>378</v>
      </c>
      <c r="P88" s="313">
        <f>M90</f>
        <v>76.18125</v>
      </c>
      <c r="Q88" s="313"/>
      <c r="R88" s="313"/>
      <c r="S88" s="313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</row>
    <row r="89" spans="1:33" ht="15">
      <c r="A89" s="385"/>
      <c r="B89" s="349"/>
      <c r="C89" s="511"/>
      <c r="D89" s="512"/>
      <c r="E89" s="513"/>
      <c r="F89" s="511"/>
      <c r="G89" s="512"/>
      <c r="H89" s="513"/>
      <c r="I89" s="346"/>
      <c r="J89" s="347">
        <f>M87</f>
        <v>40.63</v>
      </c>
      <c r="K89" s="347"/>
      <c r="L89" s="518">
        <v>1.875</v>
      </c>
      <c r="M89" s="347">
        <f>L89*J89</f>
        <v>76.18125</v>
      </c>
      <c r="N89" s="334" t="str">
        <f>N90</f>
        <v>t</v>
      </c>
      <c r="O89" s="970"/>
      <c r="P89" s="313"/>
      <c r="Q89" s="313"/>
      <c r="R89" s="313"/>
      <c r="S89" s="313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</row>
    <row r="90" spans="1:33" ht="15">
      <c r="A90" s="386"/>
      <c r="B90" s="316"/>
      <c r="C90" s="317"/>
      <c r="D90" s="318"/>
      <c r="E90" s="319"/>
      <c r="F90" s="317"/>
      <c r="G90" s="318"/>
      <c r="H90" s="319"/>
      <c r="I90" s="320"/>
      <c r="J90" s="321"/>
      <c r="K90" s="322"/>
      <c r="L90" s="323"/>
      <c r="M90" s="324">
        <f>SUM(M89:M89)</f>
        <v>76.18125</v>
      </c>
      <c r="N90" s="330" t="str">
        <f>ORÇ!E38</f>
        <v>t</v>
      </c>
      <c r="O90" s="970"/>
      <c r="P90" s="313"/>
      <c r="Q90" s="313"/>
      <c r="R90" s="313"/>
      <c r="S90" s="313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</row>
    <row r="91" spans="1:33" ht="24" customHeight="1">
      <c r="A91" s="385" t="str">
        <f>ORÇ!C39</f>
        <v>2.2.7</v>
      </c>
      <c r="B91" s="315" t="str">
        <f>VLOOKUP(A91,ORÇ!$C$1:$I$158,2,0)</f>
        <v>Transporte com caminhão basculante de 6 m³ - rodovia pavimentada (P=7,35km)</v>
      </c>
      <c r="C91" s="964"/>
      <c r="D91" s="965"/>
      <c r="E91" s="966"/>
      <c r="F91" s="964"/>
      <c r="G91" s="965"/>
      <c r="H91" s="966"/>
      <c r="I91" s="346"/>
      <c r="J91" s="326" t="s">
        <v>374</v>
      </c>
      <c r="K91" s="347"/>
      <c r="L91" s="348" t="s">
        <v>375</v>
      </c>
      <c r="M91" s="347" t="s">
        <v>225</v>
      </c>
      <c r="N91" s="333"/>
      <c r="O91" s="970"/>
      <c r="P91" s="313">
        <f>M93</f>
        <v>559.9321875</v>
      </c>
      <c r="Q91" s="313"/>
      <c r="R91" s="313"/>
      <c r="S91" s="313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</row>
    <row r="92" spans="1:33" ht="15">
      <c r="A92" s="385"/>
      <c r="B92" s="349"/>
      <c r="C92" s="511"/>
      <c r="D92" s="512"/>
      <c r="E92" s="513"/>
      <c r="F92" s="511"/>
      <c r="G92" s="512"/>
      <c r="H92" s="513"/>
      <c r="I92" s="346"/>
      <c r="J92" s="347">
        <f>M90</f>
        <v>76.18125</v>
      </c>
      <c r="K92" s="347"/>
      <c r="L92" s="331">
        <v>7.35</v>
      </c>
      <c r="M92" s="347">
        <f>L92*J92</f>
        <v>559.9321875</v>
      </c>
      <c r="N92" s="334" t="str">
        <f>N93</f>
        <v>tkm</v>
      </c>
      <c r="O92" s="970"/>
      <c r="P92" s="313"/>
      <c r="Q92" s="313"/>
      <c r="R92" s="313"/>
      <c r="S92" s="313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</row>
    <row r="93" spans="1:33" ht="15">
      <c r="A93" s="386"/>
      <c r="B93" s="316"/>
      <c r="C93" s="317"/>
      <c r="D93" s="318"/>
      <c r="E93" s="319"/>
      <c r="F93" s="317"/>
      <c r="G93" s="318"/>
      <c r="H93" s="319"/>
      <c r="I93" s="320"/>
      <c r="J93" s="321"/>
      <c r="K93" s="322"/>
      <c r="L93" s="323"/>
      <c r="M93" s="324">
        <f>SUM(M92:M92)</f>
        <v>559.9321875</v>
      </c>
      <c r="N93" s="330" t="str">
        <f>ORÇ!E39</f>
        <v>tkm</v>
      </c>
      <c r="O93" s="970"/>
      <c r="P93" s="313"/>
      <c r="Q93" s="313"/>
      <c r="R93" s="313"/>
      <c r="S93" s="313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</row>
    <row r="94" spans="1:33" ht="24" customHeight="1">
      <c r="A94" s="385" t="str">
        <f>ORÇ!C40</f>
        <v>2.2.8</v>
      </c>
      <c r="B94" s="315" t="str">
        <f>VLOOKUP(A94,ORÇ!$C$1:$I$158,2,0)</f>
        <v>Transporte com caminhão basculante de 6 m³ - rodovia em revestimento primário (RP=2,95km)</v>
      </c>
      <c r="C94" s="964"/>
      <c r="D94" s="965"/>
      <c r="E94" s="966"/>
      <c r="F94" s="964"/>
      <c r="G94" s="965"/>
      <c r="H94" s="966"/>
      <c r="I94" s="346"/>
      <c r="J94" s="326" t="s">
        <v>374</v>
      </c>
      <c r="K94" s="347"/>
      <c r="L94" s="348" t="s">
        <v>375</v>
      </c>
      <c r="M94" s="347" t="s">
        <v>225</v>
      </c>
      <c r="N94" s="333"/>
      <c r="O94" s="970"/>
      <c r="P94" s="313">
        <f>M96</f>
        <v>224.73468750000004</v>
      </c>
      <c r="Q94" s="313"/>
      <c r="R94" s="313"/>
      <c r="S94" s="313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</row>
    <row r="95" spans="1:33" ht="15">
      <c r="A95" s="385"/>
      <c r="B95" s="349"/>
      <c r="C95" s="511"/>
      <c r="D95" s="512"/>
      <c r="E95" s="513"/>
      <c r="F95" s="511"/>
      <c r="G95" s="512"/>
      <c r="H95" s="513"/>
      <c r="I95" s="346"/>
      <c r="J95" s="347">
        <f>M90</f>
        <v>76.18125</v>
      </c>
      <c r="K95" s="347"/>
      <c r="L95" s="331">
        <v>2.95</v>
      </c>
      <c r="M95" s="347">
        <f>L95*J95</f>
        <v>224.73468750000004</v>
      </c>
      <c r="N95" s="334" t="str">
        <f>N96</f>
        <v>tkm</v>
      </c>
      <c r="O95" s="970"/>
      <c r="P95" s="313"/>
      <c r="Q95" s="313"/>
      <c r="R95" s="313"/>
      <c r="S95" s="313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</row>
    <row r="96" spans="1:33" ht="15">
      <c r="A96" s="386"/>
      <c r="B96" s="316"/>
      <c r="C96" s="317"/>
      <c r="D96" s="318"/>
      <c r="E96" s="319"/>
      <c r="F96" s="317"/>
      <c r="G96" s="318"/>
      <c r="H96" s="319"/>
      <c r="I96" s="320"/>
      <c r="J96" s="321"/>
      <c r="K96" s="322"/>
      <c r="L96" s="323"/>
      <c r="M96" s="324">
        <f>SUM(M95:M95)</f>
        <v>224.73468750000004</v>
      </c>
      <c r="N96" s="330" t="str">
        <f>ORÇ!E40</f>
        <v>tkm</v>
      </c>
      <c r="O96" s="973"/>
      <c r="P96" s="313"/>
      <c r="Q96" s="313"/>
      <c r="R96" s="313"/>
      <c r="S96" s="313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</row>
    <row r="97" spans="1:33" ht="15">
      <c r="A97" s="384" t="str">
        <f>ORÇ!C41</f>
        <v>2.3</v>
      </c>
      <c r="B97" s="327" t="str">
        <f>VLOOKUP(A97,ORÇ!$C$1:$I$158,2,0)</f>
        <v>SERVIÇOS </v>
      </c>
      <c r="C97" s="306"/>
      <c r="D97" s="307"/>
      <c r="E97" s="308"/>
      <c r="F97" s="306"/>
      <c r="G97" s="307"/>
      <c r="H97" s="308"/>
      <c r="I97" s="309"/>
      <c r="J97" s="310"/>
      <c r="K97" s="311"/>
      <c r="L97" s="312"/>
      <c r="M97" s="311"/>
      <c r="N97" s="306"/>
      <c r="O97" s="410"/>
      <c r="P97" s="313"/>
      <c r="Q97" s="313"/>
      <c r="R97" s="313"/>
      <c r="S97" s="313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</row>
    <row r="98" spans="1:16" ht="24" customHeight="1">
      <c r="A98" s="387" t="str">
        <f>ORÇ!C42</f>
        <v>2.3.1</v>
      </c>
      <c r="B98" s="315" t="str">
        <f>VLOOKUP(A98,ORÇ!$C$1:$I$158,2,0)</f>
        <v>Remoção de meio fio</v>
      </c>
      <c r="C98" s="974" t="s">
        <v>220</v>
      </c>
      <c r="D98" s="975"/>
      <c r="E98" s="976"/>
      <c r="F98" s="974" t="s">
        <v>221</v>
      </c>
      <c r="G98" s="975"/>
      <c r="H98" s="976"/>
      <c r="I98" s="346" t="s">
        <v>222</v>
      </c>
      <c r="J98" s="326" t="s">
        <v>223</v>
      </c>
      <c r="K98" s="347" t="s">
        <v>289</v>
      </c>
      <c r="L98" s="348"/>
      <c r="M98" s="347" t="s">
        <v>225</v>
      </c>
      <c r="N98" s="329"/>
      <c r="O98" s="961" t="s">
        <v>376</v>
      </c>
      <c r="P98" s="409">
        <f>M103</f>
        <v>171</v>
      </c>
    </row>
    <row r="99" spans="1:15" ht="15">
      <c r="A99" s="387"/>
      <c r="B99" s="315"/>
      <c r="C99" s="515">
        <v>100</v>
      </c>
      <c r="D99" s="516" t="s">
        <v>286</v>
      </c>
      <c r="E99" s="517">
        <v>16</v>
      </c>
      <c r="F99" s="515">
        <v>102</v>
      </c>
      <c r="G99" s="516" t="s">
        <v>286</v>
      </c>
      <c r="H99" s="517">
        <v>17</v>
      </c>
      <c r="I99" s="346" t="s">
        <v>287</v>
      </c>
      <c r="J99" s="347">
        <f>(F99-C99)*20+H99-E99</f>
        <v>41</v>
      </c>
      <c r="K99" s="347">
        <v>2</v>
      </c>
      <c r="L99" s="328"/>
      <c r="M99" s="347">
        <f>J99*K99</f>
        <v>82</v>
      </c>
      <c r="N99" s="334" t="str">
        <f>$N$103</f>
        <v>M</v>
      </c>
      <c r="O99" s="962"/>
    </row>
    <row r="100" spans="1:15" ht="15">
      <c r="A100" s="387"/>
      <c r="B100" s="315"/>
      <c r="C100" s="515">
        <v>100</v>
      </c>
      <c r="D100" s="516" t="s">
        <v>286</v>
      </c>
      <c r="E100" s="517">
        <v>16</v>
      </c>
      <c r="F100" s="515">
        <v>100</v>
      </c>
      <c r="G100" s="516" t="s">
        <v>286</v>
      </c>
      <c r="H100" s="517">
        <v>16</v>
      </c>
      <c r="I100" s="346" t="s">
        <v>287</v>
      </c>
      <c r="J100" s="326">
        <v>16</v>
      </c>
      <c r="K100" s="347">
        <v>1</v>
      </c>
      <c r="L100" s="328"/>
      <c r="M100" s="347">
        <f>J100*K100</f>
        <v>16</v>
      </c>
      <c r="N100" s="334" t="str">
        <f>$N$103</f>
        <v>M</v>
      </c>
      <c r="O100" s="962"/>
    </row>
    <row r="101" spans="1:15" ht="15">
      <c r="A101" s="387"/>
      <c r="B101" s="315"/>
      <c r="C101" s="515">
        <v>102</v>
      </c>
      <c r="D101" s="516" t="s">
        <v>286</v>
      </c>
      <c r="E101" s="517">
        <v>17</v>
      </c>
      <c r="F101" s="515">
        <v>102</v>
      </c>
      <c r="G101" s="516" t="s">
        <v>286</v>
      </c>
      <c r="H101" s="517">
        <v>17</v>
      </c>
      <c r="I101" s="346" t="s">
        <v>287</v>
      </c>
      <c r="J101" s="326">
        <v>16</v>
      </c>
      <c r="K101" s="347">
        <v>1</v>
      </c>
      <c r="L101" s="328"/>
      <c r="M101" s="347">
        <f>J101*K101</f>
        <v>16</v>
      </c>
      <c r="N101" s="334" t="str">
        <f>$N$103</f>
        <v>M</v>
      </c>
      <c r="O101" s="962"/>
    </row>
    <row r="102" spans="1:15" ht="15">
      <c r="A102" s="387"/>
      <c r="B102" s="315"/>
      <c r="C102" s="515">
        <v>100</v>
      </c>
      <c r="D102" s="516" t="s">
        <v>286</v>
      </c>
      <c r="E102" s="517">
        <v>5</v>
      </c>
      <c r="F102" s="515">
        <v>103</v>
      </c>
      <c r="G102" s="516" t="s">
        <v>286</v>
      </c>
      <c r="H102" s="517">
        <v>2</v>
      </c>
      <c r="I102" s="346" t="s">
        <v>287</v>
      </c>
      <c r="J102" s="347">
        <f>(F102-C102)*20+H102-E102</f>
        <v>57</v>
      </c>
      <c r="K102" s="347">
        <v>1</v>
      </c>
      <c r="L102" s="328"/>
      <c r="M102" s="347">
        <f>J102*K102</f>
        <v>57</v>
      </c>
      <c r="N102" s="334" t="str">
        <f>$N$103</f>
        <v>M</v>
      </c>
      <c r="O102" s="962"/>
    </row>
    <row r="103" spans="1:15" ht="15">
      <c r="A103" s="386"/>
      <c r="B103" s="316"/>
      <c r="C103" s="317"/>
      <c r="D103" s="318"/>
      <c r="E103" s="319"/>
      <c r="F103" s="317"/>
      <c r="G103" s="318"/>
      <c r="H103" s="319"/>
      <c r="I103" s="320"/>
      <c r="J103" s="321"/>
      <c r="K103" s="322"/>
      <c r="L103" s="323"/>
      <c r="M103" s="324">
        <f>SUM(M99:M102)</f>
        <v>171</v>
      </c>
      <c r="N103" s="330" t="str">
        <f>VLOOKUP(A98,ORÇ!$C$1:$I$158,3,0)</f>
        <v>M</v>
      </c>
      <c r="O103" s="962"/>
    </row>
    <row r="104" spans="1:16" ht="36">
      <c r="A104" s="385" t="str">
        <f>ORÇ!C43</f>
        <v>2.3.2</v>
      </c>
      <c r="B104" s="315" t="str">
        <f>VLOOKUP(A104,ORÇ!$C$1:$I$158,2,0)</f>
        <v>Meio fio de concreto pré-moldado (12 x 30 x 15) cm, inclusive caiação e transporte do meio fio
em Vias Urbanas</v>
      </c>
      <c r="C104" s="974" t="s">
        <v>220</v>
      </c>
      <c r="D104" s="975"/>
      <c r="E104" s="976"/>
      <c r="F104" s="974" t="s">
        <v>221</v>
      </c>
      <c r="G104" s="975"/>
      <c r="H104" s="976"/>
      <c r="I104" s="346" t="s">
        <v>222</v>
      </c>
      <c r="J104" s="326" t="s">
        <v>223</v>
      </c>
      <c r="K104" s="347"/>
      <c r="L104" s="348"/>
      <c r="M104" s="347" t="s">
        <v>225</v>
      </c>
      <c r="N104" s="329"/>
      <c r="O104" s="962"/>
      <c r="P104" s="409">
        <f>M108</f>
        <v>110</v>
      </c>
    </row>
    <row r="105" spans="1:15" ht="15">
      <c r="A105" s="385"/>
      <c r="B105" s="315"/>
      <c r="C105" s="458">
        <v>0</v>
      </c>
      <c r="D105" s="459" t="s">
        <v>286</v>
      </c>
      <c r="E105" s="460">
        <v>0</v>
      </c>
      <c r="F105" s="458">
        <v>1</v>
      </c>
      <c r="G105" s="459" t="s">
        <v>286</v>
      </c>
      <c r="H105" s="460">
        <v>10</v>
      </c>
      <c r="I105" s="346" t="s">
        <v>287</v>
      </c>
      <c r="J105" s="347">
        <f>(F105-C105)*20+H105-E105</f>
        <v>30</v>
      </c>
      <c r="K105" s="347"/>
      <c r="L105" s="328"/>
      <c r="M105" s="347">
        <f>J105</f>
        <v>30</v>
      </c>
      <c r="N105" s="334" t="str">
        <f>$N$108</f>
        <v>M</v>
      </c>
      <c r="O105" s="962"/>
    </row>
    <row r="106" spans="1:15" ht="15">
      <c r="A106" s="385"/>
      <c r="B106" s="315"/>
      <c r="C106" s="515">
        <v>100</v>
      </c>
      <c r="D106" s="516" t="s">
        <v>286</v>
      </c>
      <c r="E106" s="517">
        <v>0</v>
      </c>
      <c r="F106" s="515">
        <v>103</v>
      </c>
      <c r="G106" s="516" t="s">
        <v>286</v>
      </c>
      <c r="H106" s="517">
        <v>0</v>
      </c>
      <c r="I106" s="346" t="s">
        <v>287</v>
      </c>
      <c r="J106" s="347">
        <f>(F106-C106)*20+H106-E106</f>
        <v>60</v>
      </c>
      <c r="K106" s="347"/>
      <c r="L106" s="328"/>
      <c r="M106" s="347">
        <f>J106</f>
        <v>60</v>
      </c>
      <c r="N106" s="334" t="str">
        <f>$N$108</f>
        <v>M</v>
      </c>
      <c r="O106" s="962"/>
    </row>
    <row r="107" spans="1:15" ht="15">
      <c r="A107" s="385"/>
      <c r="B107" s="315"/>
      <c r="C107" s="515">
        <v>200</v>
      </c>
      <c r="D107" s="516" t="s">
        <v>286</v>
      </c>
      <c r="E107" s="517">
        <v>0</v>
      </c>
      <c r="F107" s="515">
        <v>201</v>
      </c>
      <c r="G107" s="516" t="s">
        <v>286</v>
      </c>
      <c r="H107" s="517">
        <v>0</v>
      </c>
      <c r="I107" s="346" t="s">
        <v>287</v>
      </c>
      <c r="J107" s="347">
        <f>(F107-C107)*20+H107-E107</f>
        <v>20</v>
      </c>
      <c r="K107" s="347"/>
      <c r="L107" s="328"/>
      <c r="M107" s="347">
        <f>J107</f>
        <v>20</v>
      </c>
      <c r="N107" s="334" t="str">
        <f>$N$108</f>
        <v>M</v>
      </c>
      <c r="O107" s="962"/>
    </row>
    <row r="108" spans="1:15" ht="15">
      <c r="A108" s="386"/>
      <c r="B108" s="316"/>
      <c r="C108" s="317"/>
      <c r="D108" s="318"/>
      <c r="E108" s="319"/>
      <c r="F108" s="317"/>
      <c r="G108" s="318"/>
      <c r="H108" s="319"/>
      <c r="I108" s="320"/>
      <c r="J108" s="321"/>
      <c r="K108" s="322"/>
      <c r="L108" s="323"/>
      <c r="M108" s="324">
        <f>SUM(M105:M107)</f>
        <v>110</v>
      </c>
      <c r="N108" s="330" t="str">
        <f>VLOOKUP(A104,ORÇ!$C$1:$I$158,3,0)</f>
        <v>M</v>
      </c>
      <c r="O108" s="962"/>
    </row>
    <row r="109" spans="1:16" ht="24" customHeight="1">
      <c r="A109" s="385" t="str">
        <f>ORÇ!C44</f>
        <v>2.3.3</v>
      </c>
      <c r="B109" s="315" t="str">
        <f>VLOOKUP(A109,ORÇ!$C$1:$I$158,2,0)</f>
        <v>Caixa ralo simples (CXR-01) em blocos e grelha articulada em FFA</v>
      </c>
      <c r="C109" s="964" t="s">
        <v>234</v>
      </c>
      <c r="D109" s="965"/>
      <c r="E109" s="966"/>
      <c r="F109" s="964"/>
      <c r="G109" s="965"/>
      <c r="H109" s="966"/>
      <c r="I109" s="346" t="s">
        <v>222</v>
      </c>
      <c r="J109" s="326"/>
      <c r="K109" s="347"/>
      <c r="L109" s="348"/>
      <c r="M109" s="347" t="s">
        <v>225</v>
      </c>
      <c r="N109" s="329"/>
      <c r="O109" s="962"/>
      <c r="P109" s="409">
        <f>M116</f>
        <v>7</v>
      </c>
    </row>
    <row r="110" spans="1:15" ht="15">
      <c r="A110" s="385"/>
      <c r="B110" s="349"/>
      <c r="C110" s="515">
        <v>0</v>
      </c>
      <c r="D110" s="516" t="s">
        <v>286</v>
      </c>
      <c r="E110" s="513">
        <v>5</v>
      </c>
      <c r="F110" s="511"/>
      <c r="G110" s="512"/>
      <c r="H110" s="513"/>
      <c r="I110" s="346"/>
      <c r="J110" s="347"/>
      <c r="K110" s="347"/>
      <c r="L110" s="348"/>
      <c r="M110" s="347">
        <v>2</v>
      </c>
      <c r="N110" s="334" t="str">
        <f>N116</f>
        <v>un</v>
      </c>
      <c r="O110" s="962"/>
    </row>
    <row r="111" spans="1:15" ht="15">
      <c r="A111" s="385"/>
      <c r="B111" s="349"/>
      <c r="C111" s="515">
        <v>100</v>
      </c>
      <c r="D111" s="516" t="s">
        <v>286</v>
      </c>
      <c r="E111" s="517">
        <v>18</v>
      </c>
      <c r="F111" s="515"/>
      <c r="G111" s="516"/>
      <c r="H111" s="517"/>
      <c r="I111" s="346"/>
      <c r="J111" s="326"/>
      <c r="K111" s="347"/>
      <c r="L111" s="348"/>
      <c r="M111" s="347">
        <v>1</v>
      </c>
      <c r="N111" s="334" t="str">
        <f>N116</f>
        <v>un</v>
      </c>
      <c r="O111" s="962"/>
    </row>
    <row r="112" spans="1:15" ht="15">
      <c r="A112" s="385"/>
      <c r="B112" s="349"/>
      <c r="C112" s="515">
        <v>100</v>
      </c>
      <c r="D112" s="516" t="s">
        <v>286</v>
      </c>
      <c r="E112" s="517">
        <v>18</v>
      </c>
      <c r="F112" s="515"/>
      <c r="G112" s="516"/>
      <c r="H112" s="517"/>
      <c r="I112" s="346"/>
      <c r="J112" s="326"/>
      <c r="K112" s="347"/>
      <c r="L112" s="348"/>
      <c r="M112" s="347">
        <v>1</v>
      </c>
      <c r="N112" s="334" t="str">
        <f>N116</f>
        <v>un</v>
      </c>
      <c r="O112" s="962"/>
    </row>
    <row r="113" spans="1:15" ht="15">
      <c r="A113" s="385"/>
      <c r="B113" s="349"/>
      <c r="C113" s="515">
        <v>101</v>
      </c>
      <c r="D113" s="516" t="s">
        <v>286</v>
      </c>
      <c r="E113" s="517">
        <v>15</v>
      </c>
      <c r="F113" s="515"/>
      <c r="G113" s="516"/>
      <c r="H113" s="517"/>
      <c r="I113" s="346"/>
      <c r="J113" s="326"/>
      <c r="K113" s="347"/>
      <c r="L113" s="348"/>
      <c r="M113" s="347">
        <v>1</v>
      </c>
      <c r="N113" s="334" t="str">
        <f>N116</f>
        <v>un</v>
      </c>
      <c r="O113" s="962"/>
    </row>
    <row r="114" spans="1:15" ht="15">
      <c r="A114" s="385"/>
      <c r="B114" s="349"/>
      <c r="C114" s="515">
        <v>102</v>
      </c>
      <c r="D114" s="516" t="s">
        <v>286</v>
      </c>
      <c r="E114" s="517">
        <v>12</v>
      </c>
      <c r="F114" s="515"/>
      <c r="G114" s="516"/>
      <c r="H114" s="517"/>
      <c r="I114" s="346"/>
      <c r="J114" s="326"/>
      <c r="K114" s="347"/>
      <c r="L114" s="348"/>
      <c r="M114" s="347">
        <v>1</v>
      </c>
      <c r="N114" s="334" t="str">
        <f>N116</f>
        <v>un</v>
      </c>
      <c r="O114" s="962"/>
    </row>
    <row r="115" spans="1:15" ht="15">
      <c r="A115" s="385"/>
      <c r="B115" s="349"/>
      <c r="C115" s="515">
        <v>102</v>
      </c>
      <c r="D115" s="516" t="s">
        <v>286</v>
      </c>
      <c r="E115" s="517">
        <v>13</v>
      </c>
      <c r="F115" s="515"/>
      <c r="G115" s="516"/>
      <c r="H115" s="517"/>
      <c r="I115" s="346"/>
      <c r="J115" s="326"/>
      <c r="K115" s="347"/>
      <c r="L115" s="348"/>
      <c r="M115" s="347">
        <v>1</v>
      </c>
      <c r="N115" s="334" t="str">
        <f>N116</f>
        <v>un</v>
      </c>
      <c r="O115" s="962"/>
    </row>
    <row r="116" spans="1:15" ht="15">
      <c r="A116" s="386"/>
      <c r="B116" s="316"/>
      <c r="C116" s="317"/>
      <c r="D116" s="318"/>
      <c r="E116" s="319"/>
      <c r="F116" s="317"/>
      <c r="G116" s="318"/>
      <c r="H116" s="319"/>
      <c r="I116" s="320"/>
      <c r="J116" s="321"/>
      <c r="K116" s="322"/>
      <c r="L116" s="323"/>
      <c r="M116" s="324">
        <f>SUM(M110:M115)</f>
        <v>7</v>
      </c>
      <c r="N116" s="330" t="str">
        <f>VLOOKUP(A109,ORÇ!$C$1:$I$158,3,0)</f>
        <v>un</v>
      </c>
      <c r="O116" s="962"/>
    </row>
    <row r="117" spans="1:16" ht="24" customHeight="1">
      <c r="A117" s="385" t="str">
        <f>ORÇ!C45</f>
        <v>2.3.4</v>
      </c>
      <c r="B117" s="315" t="str">
        <f>VLOOKUP(A117,ORÇ!$C$1:$I$158,2,0)</f>
        <v>Corpo de BSTC D = 0,40 m PA2 - areia, brita e pedra de mão comerciais</v>
      </c>
      <c r="C117" s="964"/>
      <c r="D117" s="965"/>
      <c r="E117" s="966"/>
      <c r="F117" s="964"/>
      <c r="G117" s="965"/>
      <c r="H117" s="966"/>
      <c r="I117" s="346"/>
      <c r="J117" s="326"/>
      <c r="K117" s="347"/>
      <c r="L117" s="348"/>
      <c r="M117" s="347" t="s">
        <v>225</v>
      </c>
      <c r="N117" s="329"/>
      <c r="O117" s="962"/>
      <c r="P117" s="409">
        <f>M119</f>
        <v>41</v>
      </c>
    </row>
    <row r="118" spans="1:15" ht="15">
      <c r="A118" s="385"/>
      <c r="B118" s="349"/>
      <c r="C118" s="511"/>
      <c r="D118" s="512"/>
      <c r="E118" s="513"/>
      <c r="F118" s="511"/>
      <c r="G118" s="512"/>
      <c r="H118" s="513"/>
      <c r="I118" s="346"/>
      <c r="J118" s="347"/>
      <c r="K118" s="347"/>
      <c r="L118" s="348"/>
      <c r="M118" s="347">
        <v>41</v>
      </c>
      <c r="N118" s="334" t="str">
        <f>N119</f>
        <v>m</v>
      </c>
      <c r="O118" s="962"/>
    </row>
    <row r="119" spans="1:15" ht="15">
      <c r="A119" s="386"/>
      <c r="B119" s="316"/>
      <c r="C119" s="317"/>
      <c r="D119" s="318"/>
      <c r="E119" s="319"/>
      <c r="F119" s="317"/>
      <c r="G119" s="318"/>
      <c r="H119" s="319"/>
      <c r="I119" s="320"/>
      <c r="J119" s="321"/>
      <c r="K119" s="322"/>
      <c r="L119" s="323"/>
      <c r="M119" s="324">
        <f>SUM(M118:M118)</f>
        <v>41</v>
      </c>
      <c r="N119" s="330" t="str">
        <f>VLOOKUP(A117,ORÇ!$C$1:$I$158,3,0)</f>
        <v>m</v>
      </c>
      <c r="O119" s="968"/>
    </row>
    <row r="120" spans="1:15" ht="15">
      <c r="A120" s="384" t="str">
        <f>ORÇ!C48</f>
        <v>3.0</v>
      </c>
      <c r="B120" s="327" t="str">
        <f>VLOOKUP(A120,ORÇ!$C$1:$I$158,2,0)</f>
        <v>PAVIMENTAÇÃO</v>
      </c>
      <c r="C120" s="306"/>
      <c r="D120" s="307"/>
      <c r="E120" s="308"/>
      <c r="F120" s="306"/>
      <c r="G120" s="307"/>
      <c r="H120" s="308"/>
      <c r="I120" s="309"/>
      <c r="J120" s="310"/>
      <c r="K120" s="311"/>
      <c r="L120" s="312"/>
      <c r="M120" s="311"/>
      <c r="N120" s="306"/>
      <c r="O120" s="411"/>
    </row>
    <row r="121" spans="1:15" ht="15">
      <c r="A121" s="384" t="str">
        <f>ORÇ!C49</f>
        <v>3.1</v>
      </c>
      <c r="B121" s="327" t="str">
        <f>VLOOKUP(A121,ORÇ!$C$1:$I$158,2,0)</f>
        <v>REMOÇÃO DO PAVIMENTO</v>
      </c>
      <c r="C121" s="306"/>
      <c r="D121" s="307"/>
      <c r="E121" s="308"/>
      <c r="F121" s="306"/>
      <c r="G121" s="307"/>
      <c r="H121" s="308"/>
      <c r="I121" s="309"/>
      <c r="J121" s="310"/>
      <c r="K121" s="311"/>
      <c r="L121" s="312"/>
      <c r="M121" s="311"/>
      <c r="N121" s="306"/>
      <c r="O121" s="411"/>
    </row>
    <row r="122" spans="1:16" ht="24">
      <c r="A122" s="387" t="str">
        <f>ORÇ!C50</f>
        <v>3.1.1</v>
      </c>
      <c r="B122" s="315" t="str">
        <f>VLOOKUP(A122,ORÇ!$C$1:$I$158,2,0)</f>
        <v>Demolição e remoção de estrutura de pavimento inclusive capa asfáltica</v>
      </c>
      <c r="C122" s="964" t="s">
        <v>220</v>
      </c>
      <c r="D122" s="965"/>
      <c r="E122" s="966"/>
      <c r="F122" s="964" t="s">
        <v>221</v>
      </c>
      <c r="G122" s="965"/>
      <c r="H122" s="966"/>
      <c r="I122" s="346" t="s">
        <v>222</v>
      </c>
      <c r="J122" s="326"/>
      <c r="K122" s="347"/>
      <c r="L122" s="348"/>
      <c r="M122" s="347" t="s">
        <v>225</v>
      </c>
      <c r="N122" s="329"/>
      <c r="O122" s="967" t="s">
        <v>237</v>
      </c>
      <c r="P122" s="409">
        <f>M124</f>
        <v>600.33</v>
      </c>
    </row>
    <row r="123" spans="1:15" ht="15">
      <c r="A123" s="385"/>
      <c r="B123" s="349"/>
      <c r="C123" s="515">
        <v>100</v>
      </c>
      <c r="D123" s="516" t="s">
        <v>286</v>
      </c>
      <c r="E123" s="517">
        <v>5</v>
      </c>
      <c r="F123" s="515">
        <v>103</v>
      </c>
      <c r="G123" s="516" t="s">
        <v>286</v>
      </c>
      <c r="H123" s="517">
        <v>2</v>
      </c>
      <c r="I123" s="346" t="s">
        <v>287</v>
      </c>
      <c r="J123" s="347"/>
      <c r="K123" s="347"/>
      <c r="L123" s="328"/>
      <c r="M123" s="347">
        <v>600.33</v>
      </c>
      <c r="N123" s="334" t="str">
        <f>N124</f>
        <v>M2</v>
      </c>
      <c r="O123" s="962"/>
    </row>
    <row r="124" spans="1:15" ht="15">
      <c r="A124" s="386"/>
      <c r="B124" s="316"/>
      <c r="C124" s="317"/>
      <c r="D124" s="318"/>
      <c r="E124" s="319"/>
      <c r="F124" s="317"/>
      <c r="G124" s="318"/>
      <c r="H124" s="319"/>
      <c r="I124" s="320"/>
      <c r="J124" s="321"/>
      <c r="K124" s="322"/>
      <c r="L124" s="323"/>
      <c r="M124" s="324">
        <f>SUM(M123:M123)</f>
        <v>600.33</v>
      </c>
      <c r="N124" s="330" t="str">
        <f>VLOOKUP(A122,ORÇ!$C$1:$I$158,3,0)</f>
        <v>M2</v>
      </c>
      <c r="O124" s="968"/>
    </row>
    <row r="125" spans="1:16" ht="24">
      <c r="A125" s="385" t="str">
        <f>ORÇ!C51</f>
        <v>3.1.2</v>
      </c>
      <c r="B125" s="315" t="str">
        <f>VLOOKUP(A125,ORÇ!$C$1:$I$158,2,0)</f>
        <v>Remoção de pavimentação poliédrica em Vias Urbanas</v>
      </c>
      <c r="C125" s="974" t="s">
        <v>220</v>
      </c>
      <c r="D125" s="975"/>
      <c r="E125" s="976"/>
      <c r="F125" s="974" t="s">
        <v>221</v>
      </c>
      <c r="G125" s="975"/>
      <c r="H125" s="976"/>
      <c r="I125" s="346" t="s">
        <v>222</v>
      </c>
      <c r="J125" s="326" t="s">
        <v>223</v>
      </c>
      <c r="K125" s="347" t="s">
        <v>224</v>
      </c>
      <c r="L125" s="348"/>
      <c r="M125" s="347" t="s">
        <v>225</v>
      </c>
      <c r="N125" s="329"/>
      <c r="O125" s="978" t="s">
        <v>447</v>
      </c>
      <c r="P125" s="409">
        <f>M127</f>
        <v>656</v>
      </c>
    </row>
    <row r="126" spans="1:15" ht="15">
      <c r="A126" s="385"/>
      <c r="B126" s="349"/>
      <c r="C126" s="515">
        <v>100</v>
      </c>
      <c r="D126" s="516" t="s">
        <v>286</v>
      </c>
      <c r="E126" s="517">
        <v>16</v>
      </c>
      <c r="F126" s="515">
        <v>102</v>
      </c>
      <c r="G126" s="516" t="s">
        <v>286</v>
      </c>
      <c r="H126" s="517">
        <v>17</v>
      </c>
      <c r="I126" s="346" t="s">
        <v>287</v>
      </c>
      <c r="J126" s="347">
        <f>(F126-C126)*20+H126-E126</f>
        <v>41</v>
      </c>
      <c r="K126" s="347">
        <v>16</v>
      </c>
      <c r="L126" s="348"/>
      <c r="M126" s="347">
        <f>J126*K126</f>
        <v>656</v>
      </c>
      <c r="N126" s="334" t="str">
        <f>N127</f>
        <v>M2</v>
      </c>
      <c r="O126" s="978"/>
    </row>
    <row r="127" spans="1:15" ht="15">
      <c r="A127" s="386"/>
      <c r="B127" s="316"/>
      <c r="C127" s="317"/>
      <c r="D127" s="318"/>
      <c r="E127" s="319"/>
      <c r="F127" s="317"/>
      <c r="G127" s="318"/>
      <c r="H127" s="319"/>
      <c r="I127" s="320"/>
      <c r="J127" s="321"/>
      <c r="K127" s="322"/>
      <c r="L127" s="323"/>
      <c r="M127" s="324">
        <f>SUM(M126)</f>
        <v>656</v>
      </c>
      <c r="N127" s="330" t="str">
        <f>VLOOKUP(A125,ORÇ!$C$1:$I$158,3,0)</f>
        <v>M2</v>
      </c>
      <c r="O127" s="978"/>
    </row>
    <row r="128" spans="1:16" ht="48">
      <c r="A128" s="387" t="str">
        <f>ORÇ!C52</f>
        <v>3.1.3</v>
      </c>
      <c r="B128" s="315" t="str">
        <f>VLOOKUP(A128,ORÇ!$C$1:$I$158,2,0)</f>
        <v>Índice de preço para remoção de entulho decorrente da execução de obras (Classe A CONAMA - NBR 10.004 - Classe II-B), incluindo aluguel da caçamba, carga, transporte e descarga em área licenciada</v>
      </c>
      <c r="C128" s="964"/>
      <c r="D128" s="965"/>
      <c r="E128" s="966"/>
      <c r="F128" s="964"/>
      <c r="G128" s="965"/>
      <c r="H128" s="966"/>
      <c r="I128" s="346"/>
      <c r="J128" s="326" t="s">
        <v>241</v>
      </c>
      <c r="K128" s="347"/>
      <c r="L128" s="348" t="s">
        <v>226</v>
      </c>
      <c r="M128" s="347" t="s">
        <v>225</v>
      </c>
      <c r="N128" s="329"/>
      <c r="O128" s="967" t="s">
        <v>237</v>
      </c>
      <c r="P128" s="409">
        <f>M130</f>
        <v>30.016500000000004</v>
      </c>
    </row>
    <row r="129" spans="1:15" ht="15">
      <c r="A129" s="385"/>
      <c r="B129" s="349"/>
      <c r="C129" s="515"/>
      <c r="D129" s="516"/>
      <c r="E129" s="517"/>
      <c r="F129" s="515"/>
      <c r="G129" s="516"/>
      <c r="H129" s="517"/>
      <c r="I129" s="346"/>
      <c r="J129" s="347">
        <f>M124</f>
        <v>600.33</v>
      </c>
      <c r="K129" s="347"/>
      <c r="L129" s="348">
        <v>0.05</v>
      </c>
      <c r="M129" s="347">
        <f>J129*L129</f>
        <v>30.016500000000004</v>
      </c>
      <c r="N129" s="334" t="str">
        <f>N130</f>
        <v>m3</v>
      </c>
      <c r="O129" s="962"/>
    </row>
    <row r="130" spans="1:15" ht="15">
      <c r="A130" s="386"/>
      <c r="B130" s="316"/>
      <c r="C130" s="317"/>
      <c r="D130" s="318"/>
      <c r="E130" s="319"/>
      <c r="F130" s="317"/>
      <c r="G130" s="318"/>
      <c r="H130" s="319"/>
      <c r="I130" s="320"/>
      <c r="J130" s="321"/>
      <c r="K130" s="322"/>
      <c r="L130" s="323"/>
      <c r="M130" s="324">
        <f>SUM(M129:M129)</f>
        <v>30.016500000000004</v>
      </c>
      <c r="N130" s="330" t="str">
        <f>VLOOKUP(A128,ORÇ!$C$1:$I$158,3,0)</f>
        <v>m3</v>
      </c>
      <c r="O130" s="968"/>
    </row>
    <row r="131" spans="1:15" ht="15">
      <c r="A131" s="384" t="str">
        <f>ORÇ!C53</f>
        <v>3.2</v>
      </c>
      <c r="B131" s="327" t="str">
        <f>VLOOKUP(A131,ORÇ!$C$1:$I$158,2,0)</f>
        <v>PAVIMENTO NOVO</v>
      </c>
      <c r="C131" s="306"/>
      <c r="D131" s="307"/>
      <c r="E131" s="308"/>
      <c r="F131" s="306"/>
      <c r="G131" s="307"/>
      <c r="H131" s="308"/>
      <c r="I131" s="309"/>
      <c r="J131" s="310"/>
      <c r="K131" s="311"/>
      <c r="L131" s="312"/>
      <c r="M131" s="311"/>
      <c r="N131" s="306"/>
      <c r="O131" s="412"/>
    </row>
    <row r="132" spans="1:16" ht="24">
      <c r="A132" s="385" t="str">
        <f>ORÇ!C54</f>
        <v>3.2.1</v>
      </c>
      <c r="B132" s="315" t="str">
        <f>VLOOKUP(A132,ORÇ!$C$1:$I$158,2,0)</f>
        <v>Regularização do subleito</v>
      </c>
      <c r="C132" s="964" t="s">
        <v>220</v>
      </c>
      <c r="D132" s="965"/>
      <c r="E132" s="966"/>
      <c r="F132" s="964" t="s">
        <v>221</v>
      </c>
      <c r="G132" s="965"/>
      <c r="H132" s="966"/>
      <c r="I132" s="346" t="s">
        <v>222</v>
      </c>
      <c r="J132" s="326" t="s">
        <v>223</v>
      </c>
      <c r="K132" s="347" t="s">
        <v>224</v>
      </c>
      <c r="L132" s="348"/>
      <c r="M132" s="347" t="s">
        <v>225</v>
      </c>
      <c r="N132" s="329"/>
      <c r="O132" s="967" t="s">
        <v>237</v>
      </c>
      <c r="P132" s="409">
        <f>M134</f>
        <v>656</v>
      </c>
    </row>
    <row r="133" spans="1:15" ht="15">
      <c r="A133" s="385"/>
      <c r="B133" s="349"/>
      <c r="C133" s="471">
        <v>100</v>
      </c>
      <c r="D133" s="472" t="s">
        <v>286</v>
      </c>
      <c r="E133" s="473">
        <v>16</v>
      </c>
      <c r="F133" s="471">
        <v>102</v>
      </c>
      <c r="G133" s="472" t="s">
        <v>286</v>
      </c>
      <c r="H133" s="473">
        <v>17</v>
      </c>
      <c r="I133" s="346" t="s">
        <v>287</v>
      </c>
      <c r="J133" s="347">
        <v>41</v>
      </c>
      <c r="K133" s="347">
        <v>16</v>
      </c>
      <c r="L133" s="328"/>
      <c r="M133" s="347">
        <f>J133*K133</f>
        <v>656</v>
      </c>
      <c r="N133" s="334" t="str">
        <f>N134</f>
        <v>m²</v>
      </c>
      <c r="O133" s="962"/>
    </row>
    <row r="134" spans="1:15" ht="15">
      <c r="A134" s="386"/>
      <c r="B134" s="316"/>
      <c r="C134" s="317"/>
      <c r="D134" s="318"/>
      <c r="E134" s="319"/>
      <c r="F134" s="317"/>
      <c r="G134" s="318"/>
      <c r="H134" s="319"/>
      <c r="I134" s="320"/>
      <c r="J134" s="321"/>
      <c r="K134" s="322"/>
      <c r="L134" s="323"/>
      <c r="M134" s="324">
        <f>SUM(M133:M133)</f>
        <v>656</v>
      </c>
      <c r="N134" s="330" t="str">
        <f>VLOOKUP(A132,ORÇ!$C$1:$I$158,3,0)</f>
        <v>m²</v>
      </c>
      <c r="O134" s="968"/>
    </row>
    <row r="135" spans="1:16" ht="24">
      <c r="A135" s="385" t="str">
        <f>ORÇ!C55</f>
        <v>3.2.2</v>
      </c>
      <c r="B135" s="315" t="str">
        <f>VLOOKUP(A135,ORÇ!$C$1:$I$158,2,0)</f>
        <v>Base ou sub-base de brita graduada com brita comercial</v>
      </c>
      <c r="C135" s="964" t="s">
        <v>220</v>
      </c>
      <c r="D135" s="965"/>
      <c r="E135" s="966"/>
      <c r="F135" s="964" t="s">
        <v>221</v>
      </c>
      <c r="G135" s="965"/>
      <c r="H135" s="966"/>
      <c r="I135" s="346" t="s">
        <v>222</v>
      </c>
      <c r="J135" s="326" t="s">
        <v>223</v>
      </c>
      <c r="K135" s="347" t="s">
        <v>224</v>
      </c>
      <c r="L135" s="348" t="s">
        <v>226</v>
      </c>
      <c r="M135" s="347" t="s">
        <v>225</v>
      </c>
      <c r="N135" s="329"/>
      <c r="O135" s="967" t="s">
        <v>237</v>
      </c>
      <c r="P135" s="409">
        <f>M137</f>
        <v>131.20000000000002</v>
      </c>
    </row>
    <row r="136" spans="1:15" ht="15">
      <c r="A136" s="385"/>
      <c r="B136" s="349"/>
      <c r="C136" s="515">
        <v>100</v>
      </c>
      <c r="D136" s="516" t="s">
        <v>286</v>
      </c>
      <c r="E136" s="517">
        <v>16</v>
      </c>
      <c r="F136" s="515">
        <v>102</v>
      </c>
      <c r="G136" s="516" t="s">
        <v>286</v>
      </c>
      <c r="H136" s="517">
        <v>17</v>
      </c>
      <c r="I136" s="346" t="s">
        <v>287</v>
      </c>
      <c r="J136" s="347">
        <v>41</v>
      </c>
      <c r="K136" s="347">
        <v>16</v>
      </c>
      <c r="L136" s="544">
        <v>0.2</v>
      </c>
      <c r="M136" s="347">
        <f>J136*K136*L136</f>
        <v>131.20000000000002</v>
      </c>
      <c r="N136" s="334" t="str">
        <f>N137</f>
        <v>m³</v>
      </c>
      <c r="O136" s="962"/>
    </row>
    <row r="137" spans="1:15" ht="15">
      <c r="A137" s="386"/>
      <c r="B137" s="316"/>
      <c r="C137" s="317"/>
      <c r="D137" s="318"/>
      <c r="E137" s="319"/>
      <c r="F137" s="317"/>
      <c r="G137" s="318"/>
      <c r="H137" s="319"/>
      <c r="I137" s="320"/>
      <c r="J137" s="321"/>
      <c r="K137" s="322"/>
      <c r="L137" s="323"/>
      <c r="M137" s="324">
        <f>SUM(M136:M136)</f>
        <v>131.20000000000002</v>
      </c>
      <c r="N137" s="330" t="str">
        <f>VLOOKUP(A135,ORÇ!$C$1:$I$158,3,0)</f>
        <v>m³</v>
      </c>
      <c r="O137" s="968"/>
    </row>
    <row r="138" spans="1:16" ht="24">
      <c r="A138" s="385" t="str">
        <f>ORÇ!C56</f>
        <v>3.2.3</v>
      </c>
      <c r="B138" s="315" t="str">
        <f>VLOOKUP(A138,ORÇ!$C$1:$I$158,2,0)</f>
        <v>Imprimação com emulsão asfáltica</v>
      </c>
      <c r="C138" s="964" t="s">
        <v>220</v>
      </c>
      <c r="D138" s="965"/>
      <c r="E138" s="966"/>
      <c r="F138" s="964" t="s">
        <v>221</v>
      </c>
      <c r="G138" s="965"/>
      <c r="H138" s="966"/>
      <c r="I138" s="346" t="s">
        <v>222</v>
      </c>
      <c r="J138" s="326" t="s">
        <v>223</v>
      </c>
      <c r="K138" s="347" t="s">
        <v>224</v>
      </c>
      <c r="L138" s="348"/>
      <c r="M138" s="347" t="s">
        <v>225</v>
      </c>
      <c r="N138" s="329"/>
      <c r="O138" s="967" t="s">
        <v>237</v>
      </c>
      <c r="P138" s="409">
        <f>M140</f>
        <v>656</v>
      </c>
    </row>
    <row r="139" spans="1:15" ht="15">
      <c r="A139" s="385"/>
      <c r="B139" s="349"/>
      <c r="C139" s="515">
        <v>100</v>
      </c>
      <c r="D139" s="516" t="s">
        <v>286</v>
      </c>
      <c r="E139" s="517">
        <v>16</v>
      </c>
      <c r="F139" s="515">
        <v>102</v>
      </c>
      <c r="G139" s="516" t="s">
        <v>286</v>
      </c>
      <c r="H139" s="517">
        <v>17</v>
      </c>
      <c r="I139" s="346" t="s">
        <v>287</v>
      </c>
      <c r="J139" s="347">
        <v>41</v>
      </c>
      <c r="K139" s="347">
        <v>16</v>
      </c>
      <c r="L139" s="328"/>
      <c r="M139" s="347">
        <f>J139*K139</f>
        <v>656</v>
      </c>
      <c r="N139" s="334" t="str">
        <f>N140</f>
        <v>m²</v>
      </c>
      <c r="O139" s="962"/>
    </row>
    <row r="140" spans="1:15" ht="15">
      <c r="A140" s="386"/>
      <c r="B140" s="316"/>
      <c r="C140" s="317"/>
      <c r="D140" s="318"/>
      <c r="E140" s="319"/>
      <c r="F140" s="317"/>
      <c r="G140" s="318"/>
      <c r="H140" s="319"/>
      <c r="I140" s="320"/>
      <c r="J140" s="321"/>
      <c r="K140" s="322"/>
      <c r="L140" s="323"/>
      <c r="M140" s="324">
        <f>SUM(M139:M139)</f>
        <v>656</v>
      </c>
      <c r="N140" s="330" t="str">
        <f>VLOOKUP(A138,ORÇ!$C$1:$I$158,3,0)</f>
        <v>m²</v>
      </c>
      <c r="O140" s="968"/>
    </row>
    <row r="141" spans="1:16" ht="24">
      <c r="A141" s="385" t="str">
        <f>ORÇ!C57</f>
        <v>3.2.4</v>
      </c>
      <c r="B141" s="315" t="str">
        <f>VLOOKUP(A141,ORÇ!$C$1:$I$158,2,0)</f>
        <v>Concreto asfáltico - faixa C - areia e brita comerciais</v>
      </c>
      <c r="C141" s="964" t="s">
        <v>220</v>
      </c>
      <c r="D141" s="965"/>
      <c r="E141" s="966"/>
      <c r="F141" s="964" t="s">
        <v>221</v>
      </c>
      <c r="G141" s="965"/>
      <c r="H141" s="966"/>
      <c r="I141" s="346" t="s">
        <v>222</v>
      </c>
      <c r="J141" s="326" t="s">
        <v>223</v>
      </c>
      <c r="K141" s="347" t="s">
        <v>224</v>
      </c>
      <c r="L141" s="348" t="s">
        <v>226</v>
      </c>
      <c r="M141" s="347" t="s">
        <v>225</v>
      </c>
      <c r="N141" s="329"/>
      <c r="O141" s="967" t="s">
        <v>237</v>
      </c>
      <c r="P141" s="409">
        <f>M143</f>
        <v>62.976</v>
      </c>
    </row>
    <row r="142" spans="1:15" ht="15">
      <c r="A142" s="385"/>
      <c r="B142" s="349" t="s">
        <v>337</v>
      </c>
      <c r="C142" s="515">
        <v>100</v>
      </c>
      <c r="D142" s="516" t="s">
        <v>286</v>
      </c>
      <c r="E142" s="517">
        <v>16</v>
      </c>
      <c r="F142" s="515">
        <v>102</v>
      </c>
      <c r="G142" s="516" t="s">
        <v>286</v>
      </c>
      <c r="H142" s="517">
        <v>17</v>
      </c>
      <c r="I142" s="346" t="s">
        <v>287</v>
      </c>
      <c r="J142" s="347">
        <v>41</v>
      </c>
      <c r="K142" s="347">
        <v>16</v>
      </c>
      <c r="L142" s="544">
        <v>0.04</v>
      </c>
      <c r="M142" s="347">
        <f>J142*K142*L142*2.4</f>
        <v>62.976</v>
      </c>
      <c r="N142" s="334" t="str">
        <f>N143</f>
        <v>t</v>
      </c>
      <c r="O142" s="962"/>
    </row>
    <row r="143" spans="1:15" ht="15">
      <c r="A143" s="386"/>
      <c r="B143" s="316"/>
      <c r="C143" s="317"/>
      <c r="D143" s="318"/>
      <c r="E143" s="319"/>
      <c r="F143" s="317"/>
      <c r="G143" s="318"/>
      <c r="H143" s="319"/>
      <c r="I143" s="320"/>
      <c r="J143" s="321"/>
      <c r="K143" s="322"/>
      <c r="L143" s="323"/>
      <c r="M143" s="324">
        <f>SUM(M142:M142)</f>
        <v>62.976</v>
      </c>
      <c r="N143" s="330" t="str">
        <f>VLOOKUP(A141,ORÇ!$C$1:$I$158,3,0)</f>
        <v>t</v>
      </c>
      <c r="O143" s="968"/>
    </row>
    <row r="144" spans="1:15" ht="15">
      <c r="A144" s="384" t="str">
        <f>ORÇ!C58</f>
        <v>3.3</v>
      </c>
      <c r="B144" s="327" t="str">
        <f>VLOOKUP(A144,ORÇ!$C$1:$I$158,2,0)</f>
        <v>PAVIMENTO EXISTENTE</v>
      </c>
      <c r="C144" s="306"/>
      <c r="D144" s="307"/>
      <c r="E144" s="308"/>
      <c r="F144" s="306"/>
      <c r="G144" s="307"/>
      <c r="H144" s="308"/>
      <c r="I144" s="309"/>
      <c r="J144" s="310"/>
      <c r="K144" s="311"/>
      <c r="L144" s="312"/>
      <c r="M144" s="311"/>
      <c r="N144" s="306"/>
      <c r="O144" s="411"/>
    </row>
    <row r="145" spans="1:16" ht="24">
      <c r="A145" s="385" t="str">
        <f>ORÇ!C59</f>
        <v>3.3.1</v>
      </c>
      <c r="B145" s="315" t="str">
        <f>VLOOKUP(A145,ORÇ!$C$1:$I$158,2,0)</f>
        <v>Varrição e Limpeza de Superfície</v>
      </c>
      <c r="C145" s="964" t="s">
        <v>220</v>
      </c>
      <c r="D145" s="965"/>
      <c r="E145" s="966"/>
      <c r="F145" s="964" t="s">
        <v>221</v>
      </c>
      <c r="G145" s="965"/>
      <c r="H145" s="966"/>
      <c r="I145" s="346" t="s">
        <v>222</v>
      </c>
      <c r="J145" s="326" t="s">
        <v>223</v>
      </c>
      <c r="K145" s="347" t="s">
        <v>224</v>
      </c>
      <c r="L145" s="348"/>
      <c r="M145" s="347" t="s">
        <v>225</v>
      </c>
      <c r="N145" s="329"/>
      <c r="O145" s="967" t="s">
        <v>237</v>
      </c>
      <c r="P145" s="543">
        <f>M150</f>
        <v>2552.4969999999985</v>
      </c>
    </row>
    <row r="146" spans="1:15" ht="15">
      <c r="A146" s="385"/>
      <c r="B146" s="349"/>
      <c r="C146" s="383">
        <v>0</v>
      </c>
      <c r="D146" s="325" t="s">
        <v>286</v>
      </c>
      <c r="E146" s="350">
        <v>0</v>
      </c>
      <c r="F146" s="383">
        <v>3</v>
      </c>
      <c r="G146" s="325" t="s">
        <v>286</v>
      </c>
      <c r="H146" s="350">
        <v>19.235</v>
      </c>
      <c r="I146" s="346" t="s">
        <v>236</v>
      </c>
      <c r="J146" s="347">
        <v>79.235</v>
      </c>
      <c r="K146" s="347">
        <v>17.6</v>
      </c>
      <c r="L146" s="348"/>
      <c r="M146" s="347">
        <f>J146*K146</f>
        <v>1394.536</v>
      </c>
      <c r="N146" s="334" t="str">
        <f>$N$150</f>
        <v>m²</v>
      </c>
      <c r="O146" s="962"/>
    </row>
    <row r="147" spans="1:15" ht="15">
      <c r="A147" s="385"/>
      <c r="B147" s="349"/>
      <c r="C147" s="471">
        <v>100</v>
      </c>
      <c r="D147" s="472" t="s">
        <v>286</v>
      </c>
      <c r="E147" s="473">
        <v>5</v>
      </c>
      <c r="F147" s="471">
        <v>103</v>
      </c>
      <c r="G147" s="472" t="s">
        <v>286</v>
      </c>
      <c r="H147" s="473">
        <v>0</v>
      </c>
      <c r="I147" s="346" t="s">
        <v>236</v>
      </c>
      <c r="J147" s="326">
        <v>55</v>
      </c>
      <c r="K147" s="347">
        <v>7</v>
      </c>
      <c r="L147" s="348"/>
      <c r="M147" s="347">
        <f>J147*K147</f>
        <v>385</v>
      </c>
      <c r="N147" s="334" t="str">
        <f>$N$150</f>
        <v>m²</v>
      </c>
      <c r="O147" s="962"/>
    </row>
    <row r="148" spans="1:15" ht="15">
      <c r="A148" s="385"/>
      <c r="B148" s="349"/>
      <c r="C148" s="471">
        <v>103</v>
      </c>
      <c r="D148" s="472" t="s">
        <v>286</v>
      </c>
      <c r="E148" s="473">
        <v>10</v>
      </c>
      <c r="F148" s="471">
        <v>105</v>
      </c>
      <c r="G148" s="472" t="s">
        <v>286</v>
      </c>
      <c r="H148" s="473">
        <v>10.263</v>
      </c>
      <c r="I148" s="346" t="s">
        <v>236</v>
      </c>
      <c r="J148" s="326">
        <v>40.26299999999992</v>
      </c>
      <c r="K148" s="347">
        <v>7</v>
      </c>
      <c r="L148" s="348"/>
      <c r="M148" s="347">
        <f>J148*K148</f>
        <v>281.84099999999944</v>
      </c>
      <c r="N148" s="334" t="str">
        <f>$N$150</f>
        <v>m²</v>
      </c>
      <c r="O148" s="962"/>
    </row>
    <row r="149" spans="1:15" ht="15">
      <c r="A149" s="385"/>
      <c r="B149" s="349"/>
      <c r="C149" s="471">
        <v>200</v>
      </c>
      <c r="D149" s="472" t="s">
        <v>286</v>
      </c>
      <c r="E149" s="473">
        <v>0</v>
      </c>
      <c r="F149" s="471">
        <v>203</v>
      </c>
      <c r="G149" s="472" t="s">
        <v>286</v>
      </c>
      <c r="H149" s="473">
        <v>1.39</v>
      </c>
      <c r="I149" s="346" t="s">
        <v>236</v>
      </c>
      <c r="J149" s="326">
        <v>61.38999999999987</v>
      </c>
      <c r="K149" s="347">
        <v>8</v>
      </c>
      <c r="L149" s="348"/>
      <c r="M149" s="347">
        <f>J149*K149</f>
        <v>491.119999999999</v>
      </c>
      <c r="N149" s="334" t="str">
        <f>$N$150</f>
        <v>m²</v>
      </c>
      <c r="O149" s="962"/>
    </row>
    <row r="150" spans="1:15" ht="15">
      <c r="A150" s="386"/>
      <c r="B150" s="316"/>
      <c r="C150" s="317"/>
      <c r="D150" s="318"/>
      <c r="E150" s="319"/>
      <c r="F150" s="317"/>
      <c r="G150" s="318"/>
      <c r="H150" s="319"/>
      <c r="I150" s="320"/>
      <c r="J150" s="321"/>
      <c r="K150" s="322"/>
      <c r="L150" s="323"/>
      <c r="M150" s="324">
        <f>SUM(M146:M149)</f>
        <v>2552.4969999999985</v>
      </c>
      <c r="N150" s="330" t="str">
        <f>ORÇ!E59</f>
        <v>m²</v>
      </c>
      <c r="O150" s="968"/>
    </row>
    <row r="151" spans="1:16" ht="24">
      <c r="A151" s="385" t="str">
        <f>ORÇ!C60</f>
        <v>3.3.2</v>
      </c>
      <c r="B151" s="315" t="str">
        <f>VLOOKUP(A151,ORÇ!$C$1:$I$158,2,0)</f>
        <v>Pintura de ligação</v>
      </c>
      <c r="C151" s="964" t="s">
        <v>220</v>
      </c>
      <c r="D151" s="965"/>
      <c r="E151" s="966"/>
      <c r="F151" s="964" t="s">
        <v>221</v>
      </c>
      <c r="G151" s="965"/>
      <c r="H151" s="966"/>
      <c r="I151" s="346" t="s">
        <v>222</v>
      </c>
      <c r="J151" s="326" t="s">
        <v>223</v>
      </c>
      <c r="K151" s="347" t="s">
        <v>224</v>
      </c>
      <c r="L151" s="348"/>
      <c r="M151" s="347" t="s">
        <v>225</v>
      </c>
      <c r="N151" s="329"/>
      <c r="O151" s="961" t="s">
        <v>237</v>
      </c>
      <c r="P151" s="313">
        <f>M156</f>
        <v>2552.4969999999985</v>
      </c>
    </row>
    <row r="152" spans="1:15" ht="15">
      <c r="A152" s="385"/>
      <c r="B152" s="349"/>
      <c r="C152" s="515">
        <v>0</v>
      </c>
      <c r="D152" s="516" t="s">
        <v>286</v>
      </c>
      <c r="E152" s="517">
        <v>0</v>
      </c>
      <c r="F152" s="515">
        <v>3</v>
      </c>
      <c r="G152" s="516" t="s">
        <v>286</v>
      </c>
      <c r="H152" s="517">
        <v>19.235</v>
      </c>
      <c r="I152" s="346" t="s">
        <v>236</v>
      </c>
      <c r="J152" s="347">
        <v>79.235</v>
      </c>
      <c r="K152" s="347">
        <v>17.6</v>
      </c>
      <c r="L152" s="348"/>
      <c r="M152" s="347">
        <f>J152*K152</f>
        <v>1394.536</v>
      </c>
      <c r="N152" s="334" t="str">
        <f>$N$156</f>
        <v>m²</v>
      </c>
      <c r="O152" s="962"/>
    </row>
    <row r="153" spans="1:15" ht="15">
      <c r="A153" s="385"/>
      <c r="B153" s="349"/>
      <c r="C153" s="515">
        <v>100</v>
      </c>
      <c r="D153" s="516" t="s">
        <v>286</v>
      </c>
      <c r="E153" s="517">
        <v>5</v>
      </c>
      <c r="F153" s="515">
        <v>103</v>
      </c>
      <c r="G153" s="516" t="s">
        <v>286</v>
      </c>
      <c r="H153" s="517">
        <v>0</v>
      </c>
      <c r="I153" s="346" t="s">
        <v>236</v>
      </c>
      <c r="J153" s="326">
        <v>55</v>
      </c>
      <c r="K153" s="347">
        <v>7</v>
      </c>
      <c r="L153" s="348"/>
      <c r="M153" s="347">
        <f>J153*K153</f>
        <v>385</v>
      </c>
      <c r="N153" s="334" t="str">
        <f>$N$156</f>
        <v>m²</v>
      </c>
      <c r="O153" s="962"/>
    </row>
    <row r="154" spans="1:15" ht="15">
      <c r="A154" s="385"/>
      <c r="B154" s="349"/>
      <c r="C154" s="515">
        <v>103</v>
      </c>
      <c r="D154" s="516" t="s">
        <v>286</v>
      </c>
      <c r="E154" s="517">
        <v>10</v>
      </c>
      <c r="F154" s="515">
        <v>105</v>
      </c>
      <c r="G154" s="516" t="s">
        <v>286</v>
      </c>
      <c r="H154" s="517">
        <v>10.263</v>
      </c>
      <c r="I154" s="346" t="s">
        <v>236</v>
      </c>
      <c r="J154" s="326">
        <v>40.26299999999992</v>
      </c>
      <c r="K154" s="347">
        <v>7</v>
      </c>
      <c r="L154" s="348"/>
      <c r="M154" s="347">
        <f>J154*K154</f>
        <v>281.84099999999944</v>
      </c>
      <c r="N154" s="334" t="str">
        <f>$N$156</f>
        <v>m²</v>
      </c>
      <c r="O154" s="962"/>
    </row>
    <row r="155" spans="1:15" ht="15">
      <c r="A155" s="385"/>
      <c r="B155" s="349"/>
      <c r="C155" s="515">
        <v>200</v>
      </c>
      <c r="D155" s="516" t="s">
        <v>286</v>
      </c>
      <c r="E155" s="517">
        <v>0</v>
      </c>
      <c r="F155" s="515">
        <v>203</v>
      </c>
      <c r="G155" s="516" t="s">
        <v>286</v>
      </c>
      <c r="H155" s="517">
        <v>1.39</v>
      </c>
      <c r="I155" s="346" t="s">
        <v>236</v>
      </c>
      <c r="J155" s="326">
        <v>61.38999999999987</v>
      </c>
      <c r="K155" s="347">
        <v>8</v>
      </c>
      <c r="L155" s="348"/>
      <c r="M155" s="347">
        <f>J155*K155</f>
        <v>491.119999999999</v>
      </c>
      <c r="N155" s="334" t="str">
        <f>$N$156</f>
        <v>m²</v>
      </c>
      <c r="O155" s="962"/>
    </row>
    <row r="156" spans="1:16" ht="15">
      <c r="A156" s="386"/>
      <c r="B156" s="316"/>
      <c r="C156" s="317"/>
      <c r="D156" s="318"/>
      <c r="E156" s="319"/>
      <c r="F156" s="317"/>
      <c r="G156" s="318"/>
      <c r="H156" s="319"/>
      <c r="I156" s="320"/>
      <c r="J156" s="321"/>
      <c r="K156" s="322"/>
      <c r="L156" s="323"/>
      <c r="M156" s="324">
        <f>SUM(M152:M155)</f>
        <v>2552.4969999999985</v>
      </c>
      <c r="N156" s="330" t="str">
        <f>ORÇ!E60</f>
        <v>m²</v>
      </c>
      <c r="O156" s="963"/>
      <c r="P156" s="313"/>
    </row>
    <row r="157" spans="1:16" ht="24">
      <c r="A157" s="385" t="str">
        <f>ORÇ!C61</f>
        <v>3.3.3</v>
      </c>
      <c r="B157" s="315" t="str">
        <f>VLOOKUP(A157,ORÇ!$C$1:$I$158,2,0)</f>
        <v>Concreto asfáltico - faixa C - areia e brita comerciais</v>
      </c>
      <c r="C157" s="964" t="s">
        <v>220</v>
      </c>
      <c r="D157" s="965"/>
      <c r="E157" s="966"/>
      <c r="F157" s="964" t="s">
        <v>221</v>
      </c>
      <c r="G157" s="965"/>
      <c r="H157" s="966"/>
      <c r="I157" s="346" t="s">
        <v>222</v>
      </c>
      <c r="J157" s="326" t="s">
        <v>223</v>
      </c>
      <c r="K157" s="347" t="s">
        <v>224</v>
      </c>
      <c r="L157" s="348" t="s">
        <v>226</v>
      </c>
      <c r="M157" s="347" t="s">
        <v>225</v>
      </c>
      <c r="N157" s="329"/>
      <c r="O157" s="961" t="s">
        <v>237</v>
      </c>
      <c r="P157" s="313">
        <f>M162</f>
        <v>245.03971199999987</v>
      </c>
    </row>
    <row r="158" spans="1:15" ht="15">
      <c r="A158" s="385"/>
      <c r="B158" s="349" t="s">
        <v>337</v>
      </c>
      <c r="C158" s="515">
        <v>0</v>
      </c>
      <c r="D158" s="516" t="s">
        <v>286</v>
      </c>
      <c r="E158" s="517">
        <v>0</v>
      </c>
      <c r="F158" s="515">
        <v>3</v>
      </c>
      <c r="G158" s="516" t="s">
        <v>286</v>
      </c>
      <c r="H158" s="517">
        <v>19.235</v>
      </c>
      <c r="I158" s="346" t="s">
        <v>236</v>
      </c>
      <c r="J158" s="347">
        <v>79.235</v>
      </c>
      <c r="K158" s="347">
        <v>17.6</v>
      </c>
      <c r="L158" s="348">
        <v>0.04</v>
      </c>
      <c r="M158" s="347">
        <f>J158*K158*L158*2.4</f>
        <v>133.875456</v>
      </c>
      <c r="N158" s="334" t="str">
        <f>$N$162</f>
        <v>t</v>
      </c>
      <c r="O158" s="962"/>
    </row>
    <row r="159" spans="1:15" ht="15">
      <c r="A159" s="385"/>
      <c r="B159" s="349" t="s">
        <v>337</v>
      </c>
      <c r="C159" s="515">
        <v>100</v>
      </c>
      <c r="D159" s="516" t="s">
        <v>286</v>
      </c>
      <c r="E159" s="517">
        <v>5</v>
      </c>
      <c r="F159" s="515">
        <v>103</v>
      </c>
      <c r="G159" s="516" t="s">
        <v>286</v>
      </c>
      <c r="H159" s="517">
        <v>0</v>
      </c>
      <c r="I159" s="346" t="s">
        <v>236</v>
      </c>
      <c r="J159" s="326">
        <v>55</v>
      </c>
      <c r="K159" s="347">
        <v>7</v>
      </c>
      <c r="L159" s="348">
        <v>0.04</v>
      </c>
      <c r="M159" s="347">
        <f>J159*K159*L159*2.4</f>
        <v>36.96</v>
      </c>
      <c r="N159" s="334" t="str">
        <f>$N$162</f>
        <v>t</v>
      </c>
      <c r="O159" s="962"/>
    </row>
    <row r="160" spans="1:15" ht="15">
      <c r="A160" s="385"/>
      <c r="B160" s="349" t="s">
        <v>337</v>
      </c>
      <c r="C160" s="515">
        <v>103</v>
      </c>
      <c r="D160" s="516" t="s">
        <v>286</v>
      </c>
      <c r="E160" s="517">
        <v>10</v>
      </c>
      <c r="F160" s="515">
        <v>105</v>
      </c>
      <c r="G160" s="516" t="s">
        <v>286</v>
      </c>
      <c r="H160" s="517">
        <v>10.263</v>
      </c>
      <c r="I160" s="346" t="s">
        <v>236</v>
      </c>
      <c r="J160" s="326">
        <v>40.26299999999992</v>
      </c>
      <c r="K160" s="347">
        <v>7</v>
      </c>
      <c r="L160" s="348">
        <v>0.04</v>
      </c>
      <c r="M160" s="347">
        <f>J160*K160*L160*2.4</f>
        <v>27.056735999999944</v>
      </c>
      <c r="N160" s="334" t="str">
        <f>$N$162</f>
        <v>t</v>
      </c>
      <c r="O160" s="962"/>
    </row>
    <row r="161" spans="1:15" ht="15">
      <c r="A161" s="385"/>
      <c r="B161" s="349" t="s">
        <v>337</v>
      </c>
      <c r="C161" s="515">
        <v>200</v>
      </c>
      <c r="D161" s="516" t="s">
        <v>286</v>
      </c>
      <c r="E161" s="517">
        <v>0</v>
      </c>
      <c r="F161" s="515">
        <v>203</v>
      </c>
      <c r="G161" s="516" t="s">
        <v>286</v>
      </c>
      <c r="H161" s="517">
        <v>1.39</v>
      </c>
      <c r="I161" s="346" t="s">
        <v>236</v>
      </c>
      <c r="J161" s="326">
        <v>61.38999999999987</v>
      </c>
      <c r="K161" s="347">
        <v>8</v>
      </c>
      <c r="L161" s="348">
        <v>0.04</v>
      </c>
      <c r="M161" s="347">
        <f>J161*K161*L161*2.4</f>
        <v>47.14751999999991</v>
      </c>
      <c r="N161" s="334" t="str">
        <f>$N$162</f>
        <v>t</v>
      </c>
      <c r="O161" s="962"/>
    </row>
    <row r="162" spans="1:15" ht="15">
      <c r="A162" s="386"/>
      <c r="B162" s="316"/>
      <c r="C162" s="317"/>
      <c r="D162" s="318"/>
      <c r="E162" s="319"/>
      <c r="F162" s="317"/>
      <c r="G162" s="318"/>
      <c r="H162" s="319"/>
      <c r="I162" s="320"/>
      <c r="J162" s="321"/>
      <c r="K162" s="322"/>
      <c r="L162" s="323"/>
      <c r="M162" s="324">
        <f>SUM(M158:M161)</f>
        <v>245.03971199999987</v>
      </c>
      <c r="N162" s="330" t="str">
        <f>VLOOKUP(A157,ORÇ!$C$1:$I$158,3,0)</f>
        <v>t</v>
      </c>
      <c r="O162" s="968"/>
    </row>
    <row r="163" spans="1:15" ht="15">
      <c r="A163" s="384" t="str">
        <f>ORÇ!C62</f>
        <v>3.4</v>
      </c>
      <c r="B163" s="327" t="str">
        <f>VLOOKUP(A163,ORÇ!$C$1:$I$158,2,0)</f>
        <v>MATERIAIS BETUMINOSOS </v>
      </c>
      <c r="C163" s="306"/>
      <c r="D163" s="307"/>
      <c r="E163" s="308"/>
      <c r="F163" s="306"/>
      <c r="G163" s="307"/>
      <c r="H163" s="308"/>
      <c r="I163" s="309"/>
      <c r="J163" s="310"/>
      <c r="K163" s="311"/>
      <c r="L163" s="312"/>
      <c r="M163" s="311"/>
      <c r="N163" s="306"/>
      <c r="O163" s="411"/>
    </row>
    <row r="164" spans="1:16" ht="15">
      <c r="A164" s="385" t="str">
        <f>ORÇ!C63</f>
        <v>3.4.1</v>
      </c>
      <c r="B164" s="315" t="str">
        <f>VLOOKUP(A164,ORÇ!$C$1:$I$158,2,0)</f>
        <v>Aquisição de CAP-50/70</v>
      </c>
      <c r="C164" s="964"/>
      <c r="D164" s="965"/>
      <c r="E164" s="966"/>
      <c r="F164" s="964"/>
      <c r="G164" s="965"/>
      <c r="H164" s="966"/>
      <c r="I164" s="346"/>
      <c r="J164" s="326" t="s">
        <v>388</v>
      </c>
      <c r="K164" s="347" t="s">
        <v>240</v>
      </c>
      <c r="L164" s="348" t="s">
        <v>238</v>
      </c>
      <c r="M164" s="347" t="s">
        <v>225</v>
      </c>
      <c r="N164" s="329"/>
      <c r="O164" s="962" t="s">
        <v>239</v>
      </c>
      <c r="P164" s="409">
        <f>M167</f>
        <v>19.86535013915519</v>
      </c>
    </row>
    <row r="165" spans="1:16" ht="15">
      <c r="A165" s="521"/>
      <c r="B165" s="349" t="str">
        <f>B141</f>
        <v>Concreto asfáltico - faixa C - areia e brita comerciais</v>
      </c>
      <c r="C165" s="511"/>
      <c r="D165" s="512"/>
      <c r="E165" s="513"/>
      <c r="F165" s="511"/>
      <c r="G165" s="512"/>
      <c r="H165" s="513"/>
      <c r="I165" s="346"/>
      <c r="J165" s="326" t="str">
        <f>A141</f>
        <v>3.2.4</v>
      </c>
      <c r="K165" s="347">
        <f>M143</f>
        <v>62.976</v>
      </c>
      <c r="L165" s="486">
        <v>0.0644946</v>
      </c>
      <c r="M165" s="347">
        <f>K165*L165</f>
        <v>4.0616119296</v>
      </c>
      <c r="N165" s="334" t="str">
        <f>N167</f>
        <v>t</v>
      </c>
      <c r="O165" s="962"/>
      <c r="P165" s="409"/>
    </row>
    <row r="166" spans="1:15" ht="15">
      <c r="A166" s="521"/>
      <c r="B166" s="349" t="str">
        <f>B157</f>
        <v>Concreto asfáltico - faixa C - areia e brita comerciais</v>
      </c>
      <c r="C166" s="383"/>
      <c r="D166" s="325"/>
      <c r="E166" s="350"/>
      <c r="F166" s="383"/>
      <c r="G166" s="325"/>
      <c r="H166" s="350"/>
      <c r="I166" s="346"/>
      <c r="J166" s="326" t="str">
        <f>$A$157</f>
        <v>3.3.3</v>
      </c>
      <c r="K166" s="347">
        <f>M162</f>
        <v>245.03971199999987</v>
      </c>
      <c r="L166" s="486">
        <v>0.0644946</v>
      </c>
      <c r="M166" s="347">
        <f>K166*L166</f>
        <v>15.803738209555192</v>
      </c>
      <c r="N166" s="334" t="str">
        <f>N167</f>
        <v>t</v>
      </c>
      <c r="O166" s="962"/>
    </row>
    <row r="167" spans="1:15" ht="15">
      <c r="A167" s="386"/>
      <c r="B167" s="316"/>
      <c r="C167" s="317"/>
      <c r="D167" s="318"/>
      <c r="E167" s="319"/>
      <c r="F167" s="317"/>
      <c r="G167" s="318"/>
      <c r="H167" s="319"/>
      <c r="I167" s="320"/>
      <c r="J167" s="321"/>
      <c r="K167" s="322"/>
      <c r="L167" s="323"/>
      <c r="M167" s="324">
        <f>SUM(M165:M166)</f>
        <v>19.86535013915519</v>
      </c>
      <c r="N167" s="330" t="str">
        <f>VLOOKUP(A164,ORÇ!$C$1:$I$158,3,0)</f>
        <v>t</v>
      </c>
      <c r="O167" s="962"/>
    </row>
    <row r="168" spans="1:16" ht="15">
      <c r="A168" s="385" t="str">
        <f>ORÇ!C64</f>
        <v>3.4.2</v>
      </c>
      <c r="B168" s="315" t="str">
        <f>VLOOKUP(A168,ORÇ!$C$1:$I$158,2,0)</f>
        <v>Aquisição de E.A.I. (Imprimação)</v>
      </c>
      <c r="C168" s="964"/>
      <c r="D168" s="965"/>
      <c r="E168" s="966"/>
      <c r="F168" s="964"/>
      <c r="G168" s="965"/>
      <c r="H168" s="966"/>
      <c r="I168" s="346"/>
      <c r="J168" s="326" t="s">
        <v>388</v>
      </c>
      <c r="K168" s="347" t="s">
        <v>240</v>
      </c>
      <c r="L168" s="348" t="s">
        <v>238</v>
      </c>
      <c r="M168" s="347" t="s">
        <v>225</v>
      </c>
      <c r="N168" s="329"/>
      <c r="O168" s="962"/>
      <c r="P168" s="409">
        <f>M170</f>
        <v>0.2952</v>
      </c>
    </row>
    <row r="169" spans="1:15" ht="15">
      <c r="A169" s="385"/>
      <c r="B169" s="349" t="str">
        <f>B138</f>
        <v>Imprimação com emulsão asfáltica</v>
      </c>
      <c r="C169" s="511"/>
      <c r="D169" s="512"/>
      <c r="E169" s="513"/>
      <c r="F169" s="511"/>
      <c r="G169" s="512"/>
      <c r="H169" s="513"/>
      <c r="I169" s="346"/>
      <c r="J169" s="347" t="str">
        <f>A138</f>
        <v>3.2.3</v>
      </c>
      <c r="K169" s="347">
        <f>M140</f>
        <v>656</v>
      </c>
      <c r="L169" s="332">
        <v>0.00045</v>
      </c>
      <c r="M169" s="347">
        <f>K169*L169</f>
        <v>0.2952</v>
      </c>
      <c r="N169" s="334" t="str">
        <f>N170</f>
        <v>t</v>
      </c>
      <c r="O169" s="962"/>
    </row>
    <row r="170" spans="1:15" ht="15">
      <c r="A170" s="386"/>
      <c r="B170" s="316"/>
      <c r="C170" s="317"/>
      <c r="D170" s="318"/>
      <c r="E170" s="319"/>
      <c r="F170" s="317"/>
      <c r="G170" s="318"/>
      <c r="H170" s="319"/>
      <c r="I170" s="320"/>
      <c r="J170" s="321"/>
      <c r="K170" s="322"/>
      <c r="L170" s="323"/>
      <c r="M170" s="324">
        <f>SUM(M169:M169)</f>
        <v>0.2952</v>
      </c>
      <c r="N170" s="330" t="str">
        <f>VLOOKUP(A168,ORÇ!$C$1:$I$158,3,0)</f>
        <v>t</v>
      </c>
      <c r="O170" s="962"/>
    </row>
    <row r="171" spans="1:16" ht="15">
      <c r="A171" s="385" t="str">
        <f>ORÇ!C65</f>
        <v>3.4.3</v>
      </c>
      <c r="B171" s="315" t="str">
        <f>VLOOKUP(A171,ORÇ!$C$1:$I$158,2,0)</f>
        <v>Aquisição de RR-1C</v>
      </c>
      <c r="C171" s="964"/>
      <c r="D171" s="965"/>
      <c r="E171" s="966"/>
      <c r="F171" s="964"/>
      <c r="G171" s="965"/>
      <c r="H171" s="966"/>
      <c r="I171" s="346"/>
      <c r="J171" s="326" t="s">
        <v>388</v>
      </c>
      <c r="K171" s="347" t="s">
        <v>240</v>
      </c>
      <c r="L171" s="348" t="s">
        <v>238</v>
      </c>
      <c r="M171" s="347" t="s">
        <v>225</v>
      </c>
      <c r="N171" s="329"/>
      <c r="O171" s="962"/>
      <c r="P171" s="409">
        <f>M173</f>
        <v>1.1486236499999993</v>
      </c>
    </row>
    <row r="172" spans="1:15" ht="15">
      <c r="A172" s="385"/>
      <c r="B172" s="349" t="str">
        <f>B151</f>
        <v>Pintura de ligação</v>
      </c>
      <c r="C172" s="471"/>
      <c r="D172" s="472"/>
      <c r="E172" s="473"/>
      <c r="F172" s="471"/>
      <c r="G172" s="472"/>
      <c r="H172" s="473"/>
      <c r="I172" s="346"/>
      <c r="J172" s="347" t="str">
        <f>A151</f>
        <v>3.3.2</v>
      </c>
      <c r="K172" s="347">
        <f>M156</f>
        <v>2552.4969999999985</v>
      </c>
      <c r="L172" s="332">
        <v>0.00045</v>
      </c>
      <c r="M172" s="347">
        <f>K172*L172</f>
        <v>1.1486236499999993</v>
      </c>
      <c r="N172" s="334" t="str">
        <f>N173</f>
        <v>t</v>
      </c>
      <c r="O172" s="962"/>
    </row>
    <row r="173" spans="1:15" ht="15">
      <c r="A173" s="386"/>
      <c r="B173" s="316"/>
      <c r="C173" s="317"/>
      <c r="D173" s="318"/>
      <c r="E173" s="319"/>
      <c r="F173" s="317"/>
      <c r="G173" s="318"/>
      <c r="H173" s="319"/>
      <c r="I173" s="320"/>
      <c r="J173" s="321"/>
      <c r="K173" s="322"/>
      <c r="L173" s="323"/>
      <c r="M173" s="324">
        <f>SUM(M172:M172)</f>
        <v>1.1486236499999993</v>
      </c>
      <c r="N173" s="330" t="str">
        <f>VLOOKUP(A171,ORÇ!$C$1:$I$158,3,0)</f>
        <v>t</v>
      </c>
      <c r="O173" s="962"/>
    </row>
    <row r="174" spans="1:16" ht="15">
      <c r="A174" s="385" t="str">
        <f>ORÇ!C66</f>
        <v>3.4.4</v>
      </c>
      <c r="B174" s="315" t="str">
        <f>VLOOKUP(A174,ORÇ!$C$1:$I$158,2,0)</f>
        <v>Transporte de CAP-50/70</v>
      </c>
      <c r="C174" s="964"/>
      <c r="D174" s="965"/>
      <c r="E174" s="966"/>
      <c r="F174" s="964"/>
      <c r="G174" s="965"/>
      <c r="H174" s="966"/>
      <c r="I174" s="346"/>
      <c r="J174" s="326"/>
      <c r="K174" s="347"/>
      <c r="L174" s="348"/>
      <c r="M174" s="347" t="s">
        <v>225</v>
      </c>
      <c r="N174" s="329"/>
      <c r="O174" s="962"/>
      <c r="P174" s="409">
        <f>M176</f>
        <v>19.86535013915519</v>
      </c>
    </row>
    <row r="175" spans="1:15" ht="15">
      <c r="A175" s="385"/>
      <c r="B175" s="627" t="str">
        <f>B171</f>
        <v>Aquisição de RR-1C</v>
      </c>
      <c r="C175" s="471"/>
      <c r="D175" s="472"/>
      <c r="E175" s="473"/>
      <c r="F175" s="471"/>
      <c r="G175" s="472"/>
      <c r="H175" s="473"/>
      <c r="I175" s="346"/>
      <c r="J175" s="347"/>
      <c r="K175" s="347"/>
      <c r="L175" s="332"/>
      <c r="M175" s="347"/>
      <c r="N175" s="334"/>
      <c r="O175" s="962"/>
    </row>
    <row r="176" spans="1:15" ht="15">
      <c r="A176" s="386"/>
      <c r="B176" s="316"/>
      <c r="C176" s="317"/>
      <c r="D176" s="318"/>
      <c r="E176" s="319"/>
      <c r="F176" s="317"/>
      <c r="G176" s="318"/>
      <c r="H176" s="319"/>
      <c r="I176" s="320"/>
      <c r="J176" s="321"/>
      <c r="K176" s="322"/>
      <c r="L176" s="323"/>
      <c r="M176" s="324">
        <f>M167</f>
        <v>19.86535013915519</v>
      </c>
      <c r="N176" s="330" t="str">
        <f>VLOOKUP(A174,ORÇ!$C$1:$I$158,3,0)</f>
        <v>t</v>
      </c>
      <c r="O176" s="962"/>
    </row>
    <row r="177" spans="1:16" ht="15">
      <c r="A177" s="385" t="str">
        <f>ORÇ!C67</f>
        <v>3.4.5</v>
      </c>
      <c r="B177" s="315" t="str">
        <f>VLOOKUP(A177,ORÇ!$C$1:$I$158,2,0)</f>
        <v>Transporte de E.A.I. (Imprimação)</v>
      </c>
      <c r="C177" s="964"/>
      <c r="D177" s="965"/>
      <c r="E177" s="966"/>
      <c r="F177" s="964"/>
      <c r="G177" s="965"/>
      <c r="H177" s="966"/>
      <c r="I177" s="346"/>
      <c r="J177" s="326"/>
      <c r="K177" s="347"/>
      <c r="L177" s="348"/>
      <c r="M177" s="347" t="s">
        <v>225</v>
      </c>
      <c r="N177" s="329"/>
      <c r="O177" s="962"/>
      <c r="P177" s="409">
        <f>M179</f>
        <v>0.2952</v>
      </c>
    </row>
    <row r="178" spans="1:15" ht="15">
      <c r="A178" s="385"/>
      <c r="B178" s="349" t="str">
        <f>B168</f>
        <v>Aquisição de E.A.I. (Imprimação)</v>
      </c>
      <c r="C178" s="511"/>
      <c r="D178" s="512"/>
      <c r="E178" s="513"/>
      <c r="F178" s="511"/>
      <c r="G178" s="512"/>
      <c r="H178" s="513"/>
      <c r="I178" s="346"/>
      <c r="J178" s="347"/>
      <c r="K178" s="347"/>
      <c r="L178" s="332"/>
      <c r="M178" s="347"/>
      <c r="N178" s="334"/>
      <c r="O178" s="962"/>
    </row>
    <row r="179" spans="1:15" ht="15">
      <c r="A179" s="386"/>
      <c r="B179" s="316"/>
      <c r="C179" s="317"/>
      <c r="D179" s="318"/>
      <c r="E179" s="319"/>
      <c r="F179" s="317"/>
      <c r="G179" s="318"/>
      <c r="H179" s="319"/>
      <c r="I179" s="320"/>
      <c r="J179" s="321"/>
      <c r="K179" s="322"/>
      <c r="L179" s="323"/>
      <c r="M179" s="324">
        <f>M170</f>
        <v>0.2952</v>
      </c>
      <c r="N179" s="330" t="str">
        <f>VLOOKUP(A177,ORÇ!$C$1:$I$158,3,0)</f>
        <v>t</v>
      </c>
      <c r="O179" s="962"/>
    </row>
    <row r="180" spans="1:16" ht="15">
      <c r="A180" s="385" t="str">
        <f>ORÇ!C68</f>
        <v>3.4.6</v>
      </c>
      <c r="B180" s="315" t="str">
        <f>VLOOKUP(A180,ORÇ!$C$1:$I$158,2,0)</f>
        <v>Transporte de RR-1C</v>
      </c>
      <c r="C180" s="964"/>
      <c r="D180" s="965"/>
      <c r="E180" s="966"/>
      <c r="F180" s="964"/>
      <c r="G180" s="965"/>
      <c r="H180" s="966"/>
      <c r="I180" s="346"/>
      <c r="J180" s="326"/>
      <c r="K180" s="347"/>
      <c r="L180" s="348"/>
      <c r="M180" s="347" t="s">
        <v>225</v>
      </c>
      <c r="N180" s="329"/>
      <c r="O180" s="962"/>
      <c r="P180" s="409">
        <f>M182</f>
        <v>1.1486236499999993</v>
      </c>
    </row>
    <row r="181" spans="1:15" ht="15">
      <c r="A181" s="385"/>
      <c r="B181" s="627" t="str">
        <f>B164</f>
        <v>Aquisição de CAP-50/70</v>
      </c>
      <c r="C181" s="383"/>
      <c r="D181" s="325"/>
      <c r="E181" s="350"/>
      <c r="F181" s="383"/>
      <c r="G181" s="325"/>
      <c r="H181" s="350"/>
      <c r="I181" s="346"/>
      <c r="J181" s="347"/>
      <c r="K181" s="347"/>
      <c r="L181" s="348"/>
      <c r="M181" s="347"/>
      <c r="N181" s="334"/>
      <c r="O181" s="962"/>
    </row>
    <row r="182" spans="1:15" ht="15">
      <c r="A182" s="386"/>
      <c r="B182" s="316"/>
      <c r="C182" s="317"/>
      <c r="D182" s="318"/>
      <c r="E182" s="319"/>
      <c r="F182" s="317"/>
      <c r="G182" s="318"/>
      <c r="H182" s="319"/>
      <c r="I182" s="320"/>
      <c r="J182" s="321"/>
      <c r="K182" s="322"/>
      <c r="L182" s="323"/>
      <c r="M182" s="324">
        <f>M173</f>
        <v>1.1486236499999993</v>
      </c>
      <c r="N182" s="330" t="str">
        <f>VLOOKUP(A180,ORÇ!$C$1:$I$158,3,0)</f>
        <v>t</v>
      </c>
      <c r="O182" s="968"/>
    </row>
    <row r="183" spans="1:15" ht="15">
      <c r="A183" s="384" t="str">
        <f>ORÇ!C71</f>
        <v>4.0</v>
      </c>
      <c r="B183" s="327" t="str">
        <f>VLOOKUP(A183,ORÇ!$C$1:$I$158,2,0)</f>
        <v>SINALIZAÇÃO </v>
      </c>
      <c r="C183" s="306"/>
      <c r="D183" s="307"/>
      <c r="E183" s="308"/>
      <c r="F183" s="306"/>
      <c r="G183" s="307"/>
      <c r="H183" s="308"/>
      <c r="I183" s="309"/>
      <c r="J183" s="310"/>
      <c r="K183" s="311"/>
      <c r="L183" s="312"/>
      <c r="M183" s="311"/>
      <c r="N183" s="306"/>
      <c r="O183" s="411"/>
    </row>
    <row r="184" spans="1:16" ht="15">
      <c r="A184" s="387" t="str">
        <f>ORÇ!C72</f>
        <v>4.1</v>
      </c>
      <c r="B184" s="315" t="str">
        <f>VLOOKUP(A184,ORÇ!$C$1:$I$158,2,0)</f>
        <v>Placa em aço - película I + III - fornecimento e implantação</v>
      </c>
      <c r="C184" s="974"/>
      <c r="D184" s="975"/>
      <c r="E184" s="976"/>
      <c r="F184" s="974"/>
      <c r="G184" s="975"/>
      <c r="H184" s="976"/>
      <c r="I184" s="346"/>
      <c r="J184" s="326"/>
      <c r="K184" s="347"/>
      <c r="L184" s="348"/>
      <c r="M184" s="347" t="s">
        <v>225</v>
      </c>
      <c r="N184" s="329"/>
      <c r="O184" s="961" t="s">
        <v>453</v>
      </c>
      <c r="P184" s="409">
        <f>M186</f>
        <v>2.9899999999999998</v>
      </c>
    </row>
    <row r="185" spans="1:15" ht="15">
      <c r="A185" s="385"/>
      <c r="B185" s="349"/>
      <c r="C185" s="471"/>
      <c r="D185" s="472"/>
      <c r="E185" s="473"/>
      <c r="F185" s="471"/>
      <c r="G185" s="472"/>
      <c r="H185" s="473"/>
      <c r="I185" s="346"/>
      <c r="J185" s="347"/>
      <c r="K185" s="347"/>
      <c r="L185" s="348"/>
      <c r="M185" s="347">
        <v>2.9899999999999998</v>
      </c>
      <c r="N185" s="334" t="str">
        <f>$N$186</f>
        <v>m²</v>
      </c>
      <c r="O185" s="962"/>
    </row>
    <row r="186" spans="1:15" ht="15">
      <c r="A186" s="386"/>
      <c r="B186" s="316"/>
      <c r="C186" s="317"/>
      <c r="D186" s="318"/>
      <c r="E186" s="319"/>
      <c r="F186" s="317"/>
      <c r="G186" s="318"/>
      <c r="H186" s="319"/>
      <c r="I186" s="320"/>
      <c r="J186" s="321"/>
      <c r="K186" s="322"/>
      <c r="L186" s="323"/>
      <c r="M186" s="324">
        <f>SUM(M185:M185)</f>
        <v>2.9899999999999998</v>
      </c>
      <c r="N186" s="330" t="str">
        <f>VLOOKUP(A184,ORÇ!$C$1:$I$158,3,0)</f>
        <v>m²</v>
      </c>
      <c r="O186" s="968"/>
    </row>
    <row r="187" spans="1:16" ht="24">
      <c r="A187" s="385" t="str">
        <f>ORÇ!C73</f>
        <v>4.2</v>
      </c>
      <c r="B187" s="315" t="str">
        <f>VLOOKUP(A187,ORÇ!$C$1:$I$158,2,0)</f>
        <v>Suporte para placa de sinalização em madeira de lei tratada 8 x 8 cm - fornecimento e implantação</v>
      </c>
      <c r="C187" s="974"/>
      <c r="D187" s="975"/>
      <c r="E187" s="976"/>
      <c r="F187" s="974"/>
      <c r="G187" s="975"/>
      <c r="H187" s="976"/>
      <c r="I187" s="346"/>
      <c r="J187" s="326"/>
      <c r="K187" s="347"/>
      <c r="L187" s="348"/>
      <c r="M187" s="347" t="s">
        <v>225</v>
      </c>
      <c r="N187" s="329"/>
      <c r="O187" s="961" t="s">
        <v>453</v>
      </c>
      <c r="P187" s="409">
        <f>M189</f>
        <v>11</v>
      </c>
    </row>
    <row r="188" spans="1:15" ht="15">
      <c r="A188" s="385"/>
      <c r="B188" s="349" t="str">
        <f>B184</f>
        <v>Placa em aço - película I + III - fornecimento e implantação</v>
      </c>
      <c r="C188" s="383"/>
      <c r="D188" s="325"/>
      <c r="E188" s="350"/>
      <c r="F188" s="383"/>
      <c r="G188" s="325"/>
      <c r="H188" s="350"/>
      <c r="I188" s="346"/>
      <c r="J188" s="347"/>
      <c r="K188" s="347"/>
      <c r="L188" s="348"/>
      <c r="M188" s="347">
        <v>11</v>
      </c>
      <c r="N188" s="334" t="str">
        <f>N189</f>
        <v>un</v>
      </c>
      <c r="O188" s="962"/>
    </row>
    <row r="189" spans="1:15" ht="15">
      <c r="A189" s="386"/>
      <c r="B189" s="316"/>
      <c r="C189" s="317"/>
      <c r="D189" s="318"/>
      <c r="E189" s="319"/>
      <c r="F189" s="317"/>
      <c r="G189" s="318"/>
      <c r="H189" s="319"/>
      <c r="I189" s="320"/>
      <c r="J189" s="321"/>
      <c r="K189" s="322"/>
      <c r="L189" s="323"/>
      <c r="M189" s="324">
        <f>SUM(M188)</f>
        <v>11</v>
      </c>
      <c r="N189" s="330" t="str">
        <f>VLOOKUP(A187,ORÇ!$C$1:$I$158,3,0)</f>
        <v>un</v>
      </c>
      <c r="O189" s="968"/>
    </row>
    <row r="190" spans="1:16" ht="15" customHeight="1">
      <c r="A190" s="385" t="str">
        <f>ORÇ!C74</f>
        <v>4.3</v>
      </c>
      <c r="B190" s="315" t="str">
        <f>VLOOKUP(A190,ORÇ!$C$1:$I$158,2,0)</f>
        <v>Pintura de faixa com tinta acrílica - espessura de 0,6 mm</v>
      </c>
      <c r="C190" s="964"/>
      <c r="D190" s="965"/>
      <c r="E190" s="966"/>
      <c r="F190" s="964"/>
      <c r="G190" s="965"/>
      <c r="H190" s="966"/>
      <c r="I190" s="346"/>
      <c r="J190" s="326"/>
      <c r="K190" s="347"/>
      <c r="L190" s="348"/>
      <c r="M190" s="347" t="s">
        <v>225</v>
      </c>
      <c r="N190" s="329"/>
      <c r="O190" s="961" t="s">
        <v>453</v>
      </c>
      <c r="P190" s="409">
        <f>M192</f>
        <v>118.26</v>
      </c>
    </row>
    <row r="191" spans="1:15" ht="15">
      <c r="A191" s="385"/>
      <c r="B191" s="349"/>
      <c r="C191" s="414"/>
      <c r="D191" s="325"/>
      <c r="E191" s="350"/>
      <c r="F191" s="414"/>
      <c r="G191" s="325"/>
      <c r="H191" s="350"/>
      <c r="I191" s="346"/>
      <c r="J191" s="347"/>
      <c r="K191" s="347"/>
      <c r="L191" s="348"/>
      <c r="M191" s="347">
        <v>118.26</v>
      </c>
      <c r="N191" s="334" t="str">
        <f>$N$192</f>
        <v>m²</v>
      </c>
      <c r="O191" s="962"/>
    </row>
    <row r="192" spans="1:15" ht="15">
      <c r="A192" s="386"/>
      <c r="B192" s="316"/>
      <c r="C192" s="317"/>
      <c r="D192" s="318"/>
      <c r="E192" s="319"/>
      <c r="F192" s="317"/>
      <c r="G192" s="318"/>
      <c r="H192" s="319"/>
      <c r="I192" s="320"/>
      <c r="J192" s="321"/>
      <c r="K192" s="322"/>
      <c r="L192" s="323"/>
      <c r="M192" s="324">
        <f>SUM(M191:M191)</f>
        <v>118.26</v>
      </c>
      <c r="N192" s="330" t="str">
        <f>VLOOKUP(A190,ORÇ!$C$1:$I$158,3,0)</f>
        <v>m²</v>
      </c>
      <c r="O192" s="968"/>
    </row>
    <row r="193" spans="1:16" ht="24">
      <c r="A193" s="385" t="str">
        <f>ORÇ!C75</f>
        <v>4.4</v>
      </c>
      <c r="B193" s="315" t="str">
        <f>VLOOKUP(A193,ORÇ!$C$1:$I$158,2,0)</f>
        <v>Pintura de setas e zebrados com tinta acrílica - espessura de 0,6 mm</v>
      </c>
      <c r="C193" s="964"/>
      <c r="D193" s="965"/>
      <c r="E193" s="966"/>
      <c r="F193" s="964"/>
      <c r="G193" s="965"/>
      <c r="H193" s="966"/>
      <c r="I193" s="346"/>
      <c r="J193" s="326"/>
      <c r="K193" s="347"/>
      <c r="L193" s="348"/>
      <c r="M193" s="347" t="s">
        <v>225</v>
      </c>
      <c r="N193" s="329"/>
      <c r="O193" s="961" t="s">
        <v>453</v>
      </c>
      <c r="P193" s="409">
        <f>M195</f>
        <v>35.5</v>
      </c>
    </row>
    <row r="194" spans="1:15" ht="15">
      <c r="A194" s="385"/>
      <c r="B194" s="349"/>
      <c r="C194" s="515"/>
      <c r="D194" s="516"/>
      <c r="E194" s="517"/>
      <c r="F194" s="515"/>
      <c r="G194" s="516"/>
      <c r="H194" s="517"/>
      <c r="I194" s="346"/>
      <c r="J194" s="347"/>
      <c r="K194" s="347"/>
      <c r="L194" s="348"/>
      <c r="M194" s="347">
        <v>35.5</v>
      </c>
      <c r="N194" s="334" t="str">
        <f>$N$192</f>
        <v>m²</v>
      </c>
      <c r="O194" s="962"/>
    </row>
    <row r="195" spans="1:15" ht="15">
      <c r="A195" s="386"/>
      <c r="B195" s="316"/>
      <c r="C195" s="317"/>
      <c r="D195" s="318"/>
      <c r="E195" s="319"/>
      <c r="F195" s="317"/>
      <c r="G195" s="318"/>
      <c r="H195" s="319"/>
      <c r="I195" s="320"/>
      <c r="J195" s="321"/>
      <c r="K195" s="322"/>
      <c r="L195" s="323"/>
      <c r="M195" s="324">
        <f>SUM(M194:M194)</f>
        <v>35.5</v>
      </c>
      <c r="N195" s="330" t="str">
        <f>VLOOKUP(A193,ORÇ!$C$1:$I$158,3,0)</f>
        <v>m²</v>
      </c>
      <c r="O195" s="968"/>
    </row>
    <row r="196" spans="1:16" ht="24">
      <c r="A196" s="385" t="str">
        <f>ORÇ!C76</f>
        <v>4.5</v>
      </c>
      <c r="B196" s="315" t="str">
        <f>VLOOKUP(A196,ORÇ!$C$1:$I$158,2,0)</f>
        <v>Tachão refletivo em plástico injetado - bidirecional - fornecimento e colocação</v>
      </c>
      <c r="C196" s="964"/>
      <c r="D196" s="965"/>
      <c r="E196" s="966"/>
      <c r="F196" s="964"/>
      <c r="G196" s="965"/>
      <c r="H196" s="966"/>
      <c r="I196" s="346"/>
      <c r="J196" s="326"/>
      <c r="K196" s="347"/>
      <c r="L196" s="348"/>
      <c r="M196" s="347" t="s">
        <v>225</v>
      </c>
      <c r="N196" s="329"/>
      <c r="O196" s="961" t="s">
        <v>453</v>
      </c>
      <c r="P196" s="409">
        <f>M198</f>
        <v>14</v>
      </c>
    </row>
    <row r="197" spans="1:15" ht="15">
      <c r="A197" s="385"/>
      <c r="B197" s="365"/>
      <c r="C197" s="415"/>
      <c r="D197" s="417"/>
      <c r="E197" s="418"/>
      <c r="F197" s="415"/>
      <c r="G197" s="417"/>
      <c r="H197" s="418"/>
      <c r="I197" s="346"/>
      <c r="J197" s="347"/>
      <c r="K197" s="455"/>
      <c r="L197" s="348"/>
      <c r="M197" s="347">
        <v>14</v>
      </c>
      <c r="N197" s="334" t="str">
        <f>N198</f>
        <v>un</v>
      </c>
      <c r="O197" s="962"/>
    </row>
    <row r="198" spans="1:15" ht="15">
      <c r="A198" s="386"/>
      <c r="B198" s="316"/>
      <c r="C198" s="317"/>
      <c r="D198" s="318"/>
      <c r="E198" s="319"/>
      <c r="F198" s="317"/>
      <c r="G198" s="318"/>
      <c r="H198" s="319"/>
      <c r="I198" s="320"/>
      <c r="J198" s="321"/>
      <c r="K198" s="322"/>
      <c r="L198" s="323"/>
      <c r="M198" s="324">
        <f>SUM(M197:M197)</f>
        <v>14</v>
      </c>
      <c r="N198" s="330" t="str">
        <f>VLOOKUP(A196,ORÇ!$C$1:$I$158,3,0)</f>
        <v>un</v>
      </c>
      <c r="O198" s="968"/>
    </row>
    <row r="199" spans="1:15" ht="15">
      <c r="A199" s="384" t="str">
        <f>ORÇ!C79</f>
        <v>5.0</v>
      </c>
      <c r="B199" s="327" t="str">
        <f>VLOOKUP(A199,ORÇ!$C$1:$I$158,2,0)</f>
        <v>OBRAS COMPLEMENTARES E URBANISMO</v>
      </c>
      <c r="C199" s="306"/>
      <c r="D199" s="307"/>
      <c r="E199" s="308"/>
      <c r="F199" s="306"/>
      <c r="G199" s="307"/>
      <c r="H199" s="308"/>
      <c r="I199" s="309"/>
      <c r="J199" s="310"/>
      <c r="K199" s="311"/>
      <c r="L199" s="312"/>
      <c r="M199" s="311"/>
      <c r="N199" s="306"/>
      <c r="O199" s="411"/>
    </row>
    <row r="200" spans="1:16" ht="15">
      <c r="A200" s="385" t="str">
        <f>ORÇ!C80</f>
        <v>5.1</v>
      </c>
      <c r="B200" s="315" t="str">
        <f>VLOOKUP(A200,ORÇ!$C$1:$I$158,2,0)</f>
        <v>Lastro de concreto não estrutural, espessura de 6 cm</v>
      </c>
      <c r="C200" s="964"/>
      <c r="D200" s="965"/>
      <c r="E200" s="966"/>
      <c r="F200" s="964"/>
      <c r="G200" s="965"/>
      <c r="H200" s="966"/>
      <c r="I200" s="346"/>
      <c r="J200" s="326"/>
      <c r="K200" s="347"/>
      <c r="L200" s="348"/>
      <c r="M200" s="347" t="s">
        <v>225</v>
      </c>
      <c r="N200" s="329"/>
      <c r="O200" s="961" t="s">
        <v>454</v>
      </c>
      <c r="P200" s="409">
        <f>M203</f>
        <v>646.3499999999999</v>
      </c>
    </row>
    <row r="201" spans="1:15" ht="15">
      <c r="A201" s="385"/>
      <c r="B201" s="628" t="str">
        <f>_xlfn.CONCAT("item ",A204)</f>
        <v>item 5.2</v>
      </c>
      <c r="C201" s="529"/>
      <c r="D201" s="530"/>
      <c r="E201" s="531"/>
      <c r="F201" s="529"/>
      <c r="G201" s="530"/>
      <c r="H201" s="531"/>
      <c r="I201" s="346"/>
      <c r="J201" s="326"/>
      <c r="K201" s="347"/>
      <c r="L201" s="348"/>
      <c r="M201" s="347">
        <f>M206</f>
        <v>514.8</v>
      </c>
      <c r="N201" s="334" t="str">
        <f>N203</f>
        <v>m2</v>
      </c>
      <c r="O201" s="962"/>
    </row>
    <row r="202" spans="1:15" ht="15">
      <c r="A202" s="385"/>
      <c r="B202" s="628" t="str">
        <f>_xlfn.CONCAT("item ",A207)</f>
        <v>item 5.3</v>
      </c>
      <c r="C202" s="529"/>
      <c r="D202" s="530"/>
      <c r="E202" s="531"/>
      <c r="F202" s="529"/>
      <c r="G202" s="530"/>
      <c r="H202" s="531"/>
      <c r="I202" s="346"/>
      <c r="J202" s="326"/>
      <c r="K202" s="347"/>
      <c r="L202" s="348"/>
      <c r="M202" s="347">
        <f>M209</f>
        <v>131.55</v>
      </c>
      <c r="N202" s="334" t="str">
        <f>N203</f>
        <v>m2</v>
      </c>
      <c r="O202" s="962"/>
    </row>
    <row r="203" spans="1:19" ht="15">
      <c r="A203" s="386"/>
      <c r="B203" s="316"/>
      <c r="C203" s="317"/>
      <c r="D203" s="318"/>
      <c r="E203" s="319"/>
      <c r="F203" s="317"/>
      <c r="G203" s="318"/>
      <c r="H203" s="319"/>
      <c r="I203" s="320"/>
      <c r="J203" s="321"/>
      <c r="K203" s="322"/>
      <c r="L203" s="323"/>
      <c r="M203" s="324">
        <f>SUM(M201:M202)</f>
        <v>646.3499999999999</v>
      </c>
      <c r="N203" s="330" t="str">
        <f>VLOOKUP(A200,ORÇ!$C$1:$I$158,3,0)</f>
        <v>m2</v>
      </c>
      <c r="O203" s="963"/>
      <c r="S203" s="366"/>
    </row>
    <row r="204" spans="1:16" ht="36">
      <c r="A204" s="385" t="str">
        <f>ORÇ!C81</f>
        <v>5.2</v>
      </c>
      <c r="B204" s="315" t="str">
        <f>VLOOKUP(A204,ORÇ!$C$1:$I$158,2,0)</f>
        <v>Piso cimentado liso com 1.5 cm de espessura, em argamassa de cimento e areia no traço 1:3 e juntas plásticas em quadros de 1 m colorido com corante tipo Xadrez ou equivalente</v>
      </c>
      <c r="C204" s="964"/>
      <c r="D204" s="965"/>
      <c r="E204" s="966"/>
      <c r="F204" s="964"/>
      <c r="G204" s="965"/>
      <c r="H204" s="966"/>
      <c r="I204" s="346"/>
      <c r="J204" s="326"/>
      <c r="K204" s="347"/>
      <c r="L204" s="348"/>
      <c r="M204" s="347" t="s">
        <v>225</v>
      </c>
      <c r="N204" s="329"/>
      <c r="O204" s="961" t="s">
        <v>454</v>
      </c>
      <c r="P204" s="409">
        <f>M206</f>
        <v>514.8</v>
      </c>
    </row>
    <row r="205" spans="1:15" ht="15">
      <c r="A205" s="385"/>
      <c r="B205" s="315"/>
      <c r="C205" s="529"/>
      <c r="D205" s="530"/>
      <c r="E205" s="531"/>
      <c r="F205" s="529"/>
      <c r="G205" s="530"/>
      <c r="H205" s="531"/>
      <c r="I205" s="346"/>
      <c r="J205" s="326"/>
      <c r="K205" s="347"/>
      <c r="L205" s="348"/>
      <c r="M205" s="347">
        <v>514.8</v>
      </c>
      <c r="N205" s="334" t="str">
        <f>N206</f>
        <v>m2</v>
      </c>
      <c r="O205" s="962"/>
    </row>
    <row r="206" spans="1:19" ht="15">
      <c r="A206" s="386"/>
      <c r="B206" s="316"/>
      <c r="C206" s="317"/>
      <c r="D206" s="318"/>
      <c r="E206" s="319"/>
      <c r="F206" s="317"/>
      <c r="G206" s="318"/>
      <c r="H206" s="319"/>
      <c r="I206" s="320"/>
      <c r="J206" s="321"/>
      <c r="K206" s="322"/>
      <c r="L206" s="323"/>
      <c r="M206" s="324">
        <f>SUM(M205:M205)</f>
        <v>514.8</v>
      </c>
      <c r="N206" s="330" t="str">
        <f>VLOOKUP(A204,ORÇ!$C$1:$I$158,3,0)</f>
        <v>m2</v>
      </c>
      <c r="O206" s="963"/>
      <c r="S206" s="366"/>
    </row>
    <row r="207" spans="1:16" ht="36">
      <c r="A207" s="385" t="str">
        <f>ORÇ!C82</f>
        <v>5.3</v>
      </c>
      <c r="B207" s="315" t="str">
        <f>VLOOKUP(A207,ORÇ!$C$1:$I$158,2,0)</f>
        <v>Piso cimentado liso com 1.5 cm de espessura, de argamassa de cimento e areia no traço 1:3 e juntas plásticas em quadros de 1 m</v>
      </c>
      <c r="C207" s="964"/>
      <c r="D207" s="965"/>
      <c r="E207" s="966"/>
      <c r="F207" s="964"/>
      <c r="G207" s="965"/>
      <c r="H207" s="966"/>
      <c r="I207" s="346"/>
      <c r="J207" s="326"/>
      <c r="K207" s="347"/>
      <c r="L207" s="348"/>
      <c r="M207" s="347" t="s">
        <v>225</v>
      </c>
      <c r="N207" s="329"/>
      <c r="O207" s="961" t="s">
        <v>454</v>
      </c>
      <c r="P207" s="409">
        <f>M209</f>
        <v>131.55</v>
      </c>
    </row>
    <row r="208" spans="1:15" ht="15">
      <c r="A208" s="385"/>
      <c r="B208" s="315"/>
      <c r="C208" s="529"/>
      <c r="D208" s="530"/>
      <c r="E208" s="531"/>
      <c r="F208" s="529"/>
      <c r="G208" s="530"/>
      <c r="H208" s="531"/>
      <c r="I208" s="346"/>
      <c r="J208" s="326"/>
      <c r="K208" s="347"/>
      <c r="L208" s="348"/>
      <c r="M208" s="347">
        <v>131.55</v>
      </c>
      <c r="N208" s="334" t="str">
        <f>N209</f>
        <v>m2</v>
      </c>
      <c r="O208" s="962"/>
    </row>
    <row r="209" spans="1:19" ht="15">
      <c r="A209" s="386"/>
      <c r="B209" s="316"/>
      <c r="C209" s="317"/>
      <c r="D209" s="318"/>
      <c r="E209" s="319"/>
      <c r="F209" s="317"/>
      <c r="G209" s="318"/>
      <c r="H209" s="319"/>
      <c r="I209" s="320"/>
      <c r="J209" s="321"/>
      <c r="K209" s="322"/>
      <c r="L209" s="323"/>
      <c r="M209" s="324">
        <f>SUM(M208:M208)</f>
        <v>131.55</v>
      </c>
      <c r="N209" s="330" t="str">
        <f>VLOOKUP(A207,ORÇ!$C$1:$I$158,3,0)</f>
        <v>m2</v>
      </c>
      <c r="O209" s="963"/>
      <c r="S209" s="366"/>
    </row>
    <row r="210" spans="1:16" ht="36">
      <c r="A210" s="385" t="str">
        <f>ORÇ!C83</f>
        <v>5.4</v>
      </c>
      <c r="B210" s="315" t="str">
        <f>VLOOKUP(A210,ORÇ!$C$1:$I$158,2,0)</f>
        <v>Passeio pavimentado em blocos de concreto esp.=6cm, colorido, resistência 35 MPa, colchão
de areia 5cm, inclusive transporte dos blocos e da areia</v>
      </c>
      <c r="C210" s="964"/>
      <c r="D210" s="965"/>
      <c r="E210" s="966"/>
      <c r="F210" s="964"/>
      <c r="G210" s="965"/>
      <c r="H210" s="966"/>
      <c r="I210" s="346"/>
      <c r="J210" s="326"/>
      <c r="K210" s="347"/>
      <c r="L210" s="348"/>
      <c r="M210" s="347" t="s">
        <v>225</v>
      </c>
      <c r="N210" s="329"/>
      <c r="O210" s="961" t="s">
        <v>454</v>
      </c>
      <c r="P210" s="409">
        <f>M212</f>
        <v>117.58</v>
      </c>
    </row>
    <row r="211" spans="1:15" ht="15">
      <c r="A211" s="385"/>
      <c r="B211" s="315"/>
      <c r="C211" s="529"/>
      <c r="D211" s="530"/>
      <c r="E211" s="531"/>
      <c r="F211" s="529"/>
      <c r="G211" s="530"/>
      <c r="H211" s="531"/>
      <c r="I211" s="346"/>
      <c r="J211" s="326"/>
      <c r="K211" s="347"/>
      <c r="L211" s="348"/>
      <c r="M211" s="347">
        <v>117.58</v>
      </c>
      <c r="N211" s="334" t="str">
        <f>N212</f>
        <v>M2</v>
      </c>
      <c r="O211" s="962"/>
    </row>
    <row r="212" spans="1:19" ht="15">
      <c r="A212" s="386"/>
      <c r="B212" s="316"/>
      <c r="C212" s="317"/>
      <c r="D212" s="318"/>
      <c r="E212" s="319"/>
      <c r="F212" s="317"/>
      <c r="G212" s="318"/>
      <c r="H212" s="319"/>
      <c r="I212" s="320"/>
      <c r="J212" s="321"/>
      <c r="K212" s="322"/>
      <c r="L212" s="323"/>
      <c r="M212" s="324">
        <f>SUM(M211:M211)</f>
        <v>117.58</v>
      </c>
      <c r="N212" s="330" t="str">
        <f>VLOOKUP(A210,ORÇ!$C$1:$I$158,3,0)</f>
        <v>M2</v>
      </c>
      <c r="O212" s="963"/>
      <c r="S212" s="366"/>
    </row>
    <row r="213" spans="1:16" ht="36">
      <c r="A213" s="385" t="str">
        <f>ORÇ!C84</f>
        <v>5.5</v>
      </c>
      <c r="B213" s="315" t="str">
        <f>VLOOKUP(A213,ORÇ!$C$1:$I$158,2,0)</f>
        <v>Calçada de concreto fck=15 MP, camurçado c/ argam. cimento e areia 1:4, lastro de brita e 8
cm de concreto, incl. preparo da caixa e transp. da brita</v>
      </c>
      <c r="C213" s="964"/>
      <c r="D213" s="965"/>
      <c r="E213" s="966"/>
      <c r="F213" s="964"/>
      <c r="G213" s="965"/>
      <c r="H213" s="966"/>
      <c r="I213" s="346"/>
      <c r="J213" s="326"/>
      <c r="K213" s="347"/>
      <c r="L213" s="348"/>
      <c r="M213" s="347" t="s">
        <v>225</v>
      </c>
      <c r="N213" s="329"/>
      <c r="O213" s="961" t="s">
        <v>454</v>
      </c>
      <c r="P213" s="409">
        <f>M215</f>
        <v>142.4</v>
      </c>
    </row>
    <row r="214" spans="1:15" ht="15">
      <c r="A214" s="385"/>
      <c r="B214" s="315"/>
      <c r="C214" s="458"/>
      <c r="D214" s="459"/>
      <c r="E214" s="460"/>
      <c r="F214" s="458"/>
      <c r="G214" s="459"/>
      <c r="H214" s="460"/>
      <c r="I214" s="346"/>
      <c r="J214" s="326"/>
      <c r="K214" s="347"/>
      <c r="L214" s="348"/>
      <c r="M214" s="347">
        <v>142.4</v>
      </c>
      <c r="N214" s="334" t="str">
        <f>N215</f>
        <v>M2</v>
      </c>
      <c r="O214" s="962"/>
    </row>
    <row r="215" spans="1:19" ht="15">
      <c r="A215" s="386"/>
      <c r="B215" s="316"/>
      <c r="C215" s="317"/>
      <c r="D215" s="318"/>
      <c r="E215" s="319"/>
      <c r="F215" s="317"/>
      <c r="G215" s="318"/>
      <c r="H215" s="319"/>
      <c r="I215" s="320"/>
      <c r="J215" s="321"/>
      <c r="K215" s="322"/>
      <c r="L215" s="323"/>
      <c r="M215" s="324">
        <f>SUM(M214:M214)</f>
        <v>142.4</v>
      </c>
      <c r="N215" s="330" t="str">
        <f>VLOOKUP(A213,ORÇ!$C$1:$I$158,3,0)</f>
        <v>M2</v>
      </c>
      <c r="O215" s="963"/>
      <c r="S215" s="366"/>
    </row>
    <row r="216" spans="1:16" ht="24">
      <c r="A216" s="385" t="str">
        <f>ORÇ!C85</f>
        <v>5.6</v>
      </c>
      <c r="B216" s="315" t="str">
        <f>VLOOKUP(A216,ORÇ!$C$1:$I$158,2,0)</f>
        <v>Ladrilho hidráulico (argamassa cimento e areia 1:4), fornecimento e assentamento</v>
      </c>
      <c r="C216" s="964"/>
      <c r="D216" s="965"/>
      <c r="E216" s="966"/>
      <c r="F216" s="964"/>
      <c r="G216" s="965"/>
      <c r="H216" s="966"/>
      <c r="I216" s="346"/>
      <c r="J216" s="326"/>
      <c r="K216" s="347"/>
      <c r="L216" s="348"/>
      <c r="M216" s="347" t="s">
        <v>225</v>
      </c>
      <c r="N216" s="329"/>
      <c r="O216" s="961" t="s">
        <v>454</v>
      </c>
      <c r="P216" s="409">
        <f>M218</f>
        <v>42.5</v>
      </c>
    </row>
    <row r="217" spans="1:15" ht="15">
      <c r="A217" s="385"/>
      <c r="B217" s="315"/>
      <c r="C217" s="529"/>
      <c r="D217" s="530"/>
      <c r="E217" s="531"/>
      <c r="F217" s="529"/>
      <c r="G217" s="530"/>
      <c r="H217" s="531"/>
      <c r="I217" s="346"/>
      <c r="J217" s="326"/>
      <c r="K217" s="347"/>
      <c r="L217" s="348"/>
      <c r="M217" s="347">
        <v>42.5</v>
      </c>
      <c r="N217" s="334" t="str">
        <f>N218</f>
        <v>M2</v>
      </c>
      <c r="O217" s="962"/>
    </row>
    <row r="218" spans="1:19" ht="15">
      <c r="A218" s="386"/>
      <c r="B218" s="316"/>
      <c r="C218" s="317"/>
      <c r="D218" s="318"/>
      <c r="E218" s="319"/>
      <c r="F218" s="317"/>
      <c r="G218" s="318"/>
      <c r="H218" s="319"/>
      <c r="I218" s="320"/>
      <c r="J218" s="321"/>
      <c r="K218" s="322"/>
      <c r="L218" s="323"/>
      <c r="M218" s="324">
        <f>SUM(M217:M217)</f>
        <v>42.5</v>
      </c>
      <c r="N218" s="330" t="str">
        <f>VLOOKUP(A216,ORÇ!$C$1:$I$158,3,0)</f>
        <v>M2</v>
      </c>
      <c r="O218" s="963"/>
      <c r="S218" s="366"/>
    </row>
    <row r="219" spans="1:16" ht="15">
      <c r="A219" s="385" t="str">
        <f>ORÇ!C86</f>
        <v>5.7</v>
      </c>
      <c r="B219" s="315" t="str">
        <f>VLOOKUP(A219,ORÇ!$C$1:$I$158,2,0)</f>
        <v>Rampa de pedestres, com piso em ladrilho hidráulico podotátil</v>
      </c>
      <c r="C219" s="964"/>
      <c r="D219" s="965"/>
      <c r="E219" s="966"/>
      <c r="F219" s="964"/>
      <c r="G219" s="965"/>
      <c r="H219" s="966"/>
      <c r="I219" s="346"/>
      <c r="J219" s="326" t="s">
        <v>223</v>
      </c>
      <c r="K219" s="347" t="s">
        <v>488</v>
      </c>
      <c r="L219" s="348"/>
      <c r="M219" s="347" t="s">
        <v>225</v>
      </c>
      <c r="N219" s="329"/>
      <c r="O219" s="961" t="s">
        <v>454</v>
      </c>
      <c r="P219" s="409">
        <f>M221</f>
        <v>16</v>
      </c>
    </row>
    <row r="220" spans="1:15" ht="15">
      <c r="A220" s="385"/>
      <c r="B220" s="315"/>
      <c r="C220" s="529"/>
      <c r="D220" s="530"/>
      <c r="E220" s="531"/>
      <c r="F220" s="529"/>
      <c r="G220" s="530"/>
      <c r="H220" s="531"/>
      <c r="I220" s="346"/>
      <c r="J220" s="326">
        <v>2</v>
      </c>
      <c r="K220" s="347">
        <v>8</v>
      </c>
      <c r="L220" s="348"/>
      <c r="M220" s="347">
        <f>J220*K220</f>
        <v>16</v>
      </c>
      <c r="N220" s="334" t="str">
        <f>N221</f>
        <v>M</v>
      </c>
      <c r="O220" s="962"/>
    </row>
    <row r="221" spans="1:19" ht="15">
      <c r="A221" s="386"/>
      <c r="B221" s="316"/>
      <c r="C221" s="317"/>
      <c r="D221" s="318"/>
      <c r="E221" s="319"/>
      <c r="F221" s="317"/>
      <c r="G221" s="318"/>
      <c r="H221" s="319"/>
      <c r="I221" s="320"/>
      <c r="J221" s="321"/>
      <c r="K221" s="322"/>
      <c r="L221" s="323"/>
      <c r="M221" s="324">
        <f>SUM(M220:M220)</f>
        <v>16</v>
      </c>
      <c r="N221" s="330" t="str">
        <f>VLOOKUP(A219,ORÇ!$C$1:$I$158,3,0)</f>
        <v>M</v>
      </c>
      <c r="O221" s="963"/>
      <c r="S221" s="366"/>
    </row>
    <row r="222" spans="1:16" ht="36">
      <c r="A222" s="385" t="str">
        <f>ORÇ!C87</f>
        <v>5.8</v>
      </c>
      <c r="B222" s="315" t="str">
        <f>VLOOKUP(A222,ORÇ!$C$1:$I$158,2,0)</f>
        <v>Banco de concreto armado aparente Fck=15 MPa, com apoios de concreto, largura de 45cm, espessura de 7cm e altura de 45cm</v>
      </c>
      <c r="C222" s="964"/>
      <c r="D222" s="965"/>
      <c r="E222" s="966"/>
      <c r="F222" s="964"/>
      <c r="G222" s="965"/>
      <c r="H222" s="966"/>
      <c r="I222" s="346"/>
      <c r="J222" s="326" t="s">
        <v>223</v>
      </c>
      <c r="K222" s="347" t="s">
        <v>488</v>
      </c>
      <c r="L222" s="348"/>
      <c r="M222" s="347" t="s">
        <v>225</v>
      </c>
      <c r="N222" s="329"/>
      <c r="O222" s="961" t="s">
        <v>454</v>
      </c>
      <c r="P222" s="409">
        <f>M224</f>
        <v>18</v>
      </c>
    </row>
    <row r="223" spans="1:15" ht="15">
      <c r="A223" s="385"/>
      <c r="B223" s="315"/>
      <c r="C223" s="529"/>
      <c r="D223" s="530"/>
      <c r="E223" s="531"/>
      <c r="F223" s="529"/>
      <c r="G223" s="530"/>
      <c r="H223" s="531"/>
      <c r="I223" s="346"/>
      <c r="J223" s="326">
        <v>1.5</v>
      </c>
      <c r="K223" s="347">
        <v>12</v>
      </c>
      <c r="L223" s="348"/>
      <c r="M223" s="347">
        <f>J223*K223</f>
        <v>18</v>
      </c>
      <c r="N223" s="334" t="str">
        <f>N224</f>
        <v>m</v>
      </c>
      <c r="O223" s="962"/>
    </row>
    <row r="224" spans="1:19" ht="15">
      <c r="A224" s="386"/>
      <c r="B224" s="316"/>
      <c r="C224" s="317"/>
      <c r="D224" s="318"/>
      <c r="E224" s="319"/>
      <c r="F224" s="317"/>
      <c r="G224" s="318"/>
      <c r="H224" s="319"/>
      <c r="I224" s="320"/>
      <c r="J224" s="321"/>
      <c r="K224" s="322"/>
      <c r="L224" s="323"/>
      <c r="M224" s="324">
        <f>SUM(M223:M223)</f>
        <v>18</v>
      </c>
      <c r="N224" s="330" t="str">
        <f>VLOOKUP(A222,ORÇ!$C$1:$I$158,3,0)</f>
        <v>m</v>
      </c>
      <c r="O224" s="963"/>
      <c r="S224" s="366"/>
    </row>
    <row r="225" spans="1:16" ht="15">
      <c r="A225" s="385" t="str">
        <f>ORÇ!C88</f>
        <v>5.9</v>
      </c>
      <c r="B225" s="315" t="str">
        <f>VLOOKUP(A225,ORÇ!$C$1:$I$158,2,0)</f>
        <v>Plantio de grama comercial em placas</v>
      </c>
      <c r="C225" s="964"/>
      <c r="D225" s="965"/>
      <c r="E225" s="966"/>
      <c r="F225" s="964"/>
      <c r="G225" s="965"/>
      <c r="H225" s="966"/>
      <c r="I225" s="346"/>
      <c r="J225" s="326"/>
      <c r="K225" s="347"/>
      <c r="L225" s="348"/>
      <c r="M225" s="347" t="s">
        <v>225</v>
      </c>
      <c r="N225" s="329"/>
      <c r="O225" s="961" t="s">
        <v>454</v>
      </c>
      <c r="P225" s="409">
        <f>M227</f>
        <v>65</v>
      </c>
    </row>
    <row r="226" spans="1:15" ht="15">
      <c r="A226" s="385"/>
      <c r="B226" s="315"/>
      <c r="C226" s="529"/>
      <c r="D226" s="530"/>
      <c r="E226" s="531"/>
      <c r="F226" s="529"/>
      <c r="G226" s="530"/>
      <c r="H226" s="531"/>
      <c r="I226" s="346"/>
      <c r="J226" s="326"/>
      <c r="K226" s="347"/>
      <c r="L226" s="348"/>
      <c r="M226" s="347">
        <v>65</v>
      </c>
      <c r="N226" s="334" t="str">
        <f>N227</f>
        <v>m²</v>
      </c>
      <c r="O226" s="962"/>
    </row>
    <row r="227" spans="1:19" ht="15">
      <c r="A227" s="386"/>
      <c r="B227" s="316"/>
      <c r="C227" s="317"/>
      <c r="D227" s="318"/>
      <c r="E227" s="319"/>
      <c r="F227" s="317"/>
      <c r="G227" s="318"/>
      <c r="H227" s="319"/>
      <c r="I227" s="320"/>
      <c r="J227" s="321"/>
      <c r="K227" s="322"/>
      <c r="L227" s="323"/>
      <c r="M227" s="324">
        <f>SUM(M226:M226)</f>
        <v>65</v>
      </c>
      <c r="N227" s="330" t="str">
        <f>VLOOKUP(A225,ORÇ!$C$1:$I$158,3,0)</f>
        <v>m²</v>
      </c>
      <c r="O227" s="963"/>
      <c r="S227" s="366"/>
    </row>
    <row r="228" spans="1:16" ht="15">
      <c r="A228" s="385" t="str">
        <f>ORÇ!C89</f>
        <v>5.10</v>
      </c>
      <c r="B228" s="315" t="str">
        <f>VLOOKUP(A228,ORÇ!$C$1:$I$158,2,0)</f>
        <v>PLANTIO DE ARBUSTO OU  CERCA VIVA. AF_05/2018</v>
      </c>
      <c r="C228" s="964"/>
      <c r="D228" s="965"/>
      <c r="E228" s="966"/>
      <c r="F228" s="964"/>
      <c r="G228" s="965"/>
      <c r="H228" s="966"/>
      <c r="I228" s="346"/>
      <c r="J228" s="326"/>
      <c r="K228" s="347"/>
      <c r="L228" s="348"/>
      <c r="M228" s="347" t="s">
        <v>225</v>
      </c>
      <c r="N228" s="329"/>
      <c r="O228" s="961" t="s">
        <v>454</v>
      </c>
      <c r="P228" s="409">
        <f>M230</f>
        <v>20</v>
      </c>
    </row>
    <row r="229" spans="1:15" ht="15">
      <c r="A229" s="385"/>
      <c r="B229" s="315"/>
      <c r="C229" s="529"/>
      <c r="D229" s="530"/>
      <c r="E229" s="531"/>
      <c r="F229" s="529"/>
      <c r="G229" s="530"/>
      <c r="H229" s="531"/>
      <c r="I229" s="346"/>
      <c r="J229" s="326"/>
      <c r="K229" s="347"/>
      <c r="L229" s="348"/>
      <c r="M229" s="347">
        <v>20</v>
      </c>
      <c r="N229" s="334" t="str">
        <f>N230</f>
        <v>UN</v>
      </c>
      <c r="O229" s="962"/>
    </row>
    <row r="230" spans="1:19" ht="15">
      <c r="A230" s="386"/>
      <c r="B230" s="316"/>
      <c r="C230" s="317"/>
      <c r="D230" s="318"/>
      <c r="E230" s="319"/>
      <c r="F230" s="317"/>
      <c r="G230" s="318"/>
      <c r="H230" s="319"/>
      <c r="I230" s="320"/>
      <c r="J230" s="321"/>
      <c r="K230" s="322"/>
      <c r="L230" s="323"/>
      <c r="M230" s="324">
        <f>SUM(M229:M229)</f>
        <v>20</v>
      </c>
      <c r="N230" s="330" t="str">
        <f>VLOOKUP(A228,ORÇ!$C$1:$I$158,3,0)</f>
        <v>UN</v>
      </c>
      <c r="O230" s="963"/>
      <c r="S230" s="366"/>
    </row>
    <row r="231" spans="1:16" ht="24">
      <c r="A231" s="385" t="str">
        <f>ORÇ!C90</f>
        <v>5.11</v>
      </c>
      <c r="B231" s="315" t="str">
        <f>VLOOKUP(A231,ORÇ!$C$1:$I$158,2,0)</f>
        <v>PLANTIO DE ÁRVORE ORNAMENTAL COM ALTURA DE MUDA MENOR OU IGUAL A 2,00 M. AF_05/2018</v>
      </c>
      <c r="C231" s="964"/>
      <c r="D231" s="965"/>
      <c r="E231" s="966"/>
      <c r="F231" s="964"/>
      <c r="G231" s="965"/>
      <c r="H231" s="966"/>
      <c r="I231" s="346"/>
      <c r="J231" s="326"/>
      <c r="K231" s="347"/>
      <c r="L231" s="348"/>
      <c r="M231" s="347" t="s">
        <v>225</v>
      </c>
      <c r="N231" s="329"/>
      <c r="O231" s="961" t="s">
        <v>454</v>
      </c>
      <c r="P231" s="409">
        <f>M233</f>
        <v>6</v>
      </c>
    </row>
    <row r="232" spans="1:15" ht="15">
      <c r="A232" s="385"/>
      <c r="B232" s="315"/>
      <c r="C232" s="529"/>
      <c r="D232" s="530"/>
      <c r="E232" s="531"/>
      <c r="F232" s="529"/>
      <c r="G232" s="530"/>
      <c r="H232" s="531"/>
      <c r="I232" s="346"/>
      <c r="J232" s="326"/>
      <c r="K232" s="347"/>
      <c r="L232" s="348"/>
      <c r="M232" s="347">
        <v>6</v>
      </c>
      <c r="N232" s="334" t="str">
        <f>N233</f>
        <v>UN</v>
      </c>
      <c r="O232" s="962"/>
    </row>
    <row r="233" spans="1:19" ht="15">
      <c r="A233" s="386"/>
      <c r="B233" s="316"/>
      <c r="C233" s="317"/>
      <c r="D233" s="318"/>
      <c r="E233" s="319"/>
      <c r="F233" s="317"/>
      <c r="G233" s="318"/>
      <c r="H233" s="319"/>
      <c r="I233" s="320"/>
      <c r="J233" s="321"/>
      <c r="K233" s="322"/>
      <c r="L233" s="323"/>
      <c r="M233" s="324">
        <f>SUM(M232:M232)</f>
        <v>6</v>
      </c>
      <c r="N233" s="330" t="str">
        <f>VLOOKUP(A231,ORÇ!$C$1:$I$158,3,0)</f>
        <v>UN</v>
      </c>
      <c r="O233" s="963"/>
      <c r="S233" s="366"/>
    </row>
    <row r="234" spans="1:16" ht="24">
      <c r="A234" s="385" t="str">
        <f>ORÇ!C91</f>
        <v>5.12</v>
      </c>
      <c r="B234" s="315" t="str">
        <f>VLOOKUP(A234,ORÇ!$C$1:$I$158,2,0)</f>
        <v>PLANTIO DE ÁRVORE ORNAMENTAL COM ALTURA DE MUDA MAIOR QUE 2,00 M E MENOR OU IGUAL A 4,00 M. AF_05/2018</v>
      </c>
      <c r="C234" s="964"/>
      <c r="D234" s="965"/>
      <c r="E234" s="966"/>
      <c r="F234" s="964"/>
      <c r="G234" s="965"/>
      <c r="H234" s="966"/>
      <c r="I234" s="346"/>
      <c r="J234" s="326"/>
      <c r="K234" s="347"/>
      <c r="L234" s="348"/>
      <c r="M234" s="347" t="s">
        <v>225</v>
      </c>
      <c r="N234" s="329"/>
      <c r="O234" s="961" t="s">
        <v>454</v>
      </c>
      <c r="P234" s="409">
        <f>M236</f>
        <v>6</v>
      </c>
    </row>
    <row r="235" spans="1:15" ht="15">
      <c r="A235" s="385"/>
      <c r="B235" s="315"/>
      <c r="C235" s="529"/>
      <c r="D235" s="530"/>
      <c r="E235" s="531"/>
      <c r="F235" s="529"/>
      <c r="G235" s="530"/>
      <c r="H235" s="531"/>
      <c r="I235" s="346"/>
      <c r="J235" s="326"/>
      <c r="K235" s="347"/>
      <c r="L235" s="348"/>
      <c r="M235" s="347">
        <v>6</v>
      </c>
      <c r="N235" s="334" t="str">
        <f>N236</f>
        <v>UN</v>
      </c>
      <c r="O235" s="962"/>
    </row>
    <row r="236" spans="1:19" ht="15">
      <c r="A236" s="386"/>
      <c r="B236" s="316"/>
      <c r="C236" s="317"/>
      <c r="D236" s="318"/>
      <c r="E236" s="319"/>
      <c r="F236" s="317"/>
      <c r="G236" s="318"/>
      <c r="H236" s="319"/>
      <c r="I236" s="320"/>
      <c r="J236" s="321"/>
      <c r="K236" s="322"/>
      <c r="L236" s="323"/>
      <c r="M236" s="324">
        <f>SUM(M235:M235)</f>
        <v>6</v>
      </c>
      <c r="N236" s="330" t="str">
        <f>VLOOKUP(A234,ORÇ!$C$1:$I$158,3,0)</f>
        <v>UN</v>
      </c>
      <c r="O236" s="963"/>
      <c r="S236" s="366"/>
    </row>
    <row r="237" spans="1:16" ht="24">
      <c r="A237" s="385" t="str">
        <f>ORÇ!C92</f>
        <v>5.13</v>
      </c>
      <c r="B237" s="315" t="str">
        <f>VLOOKUP(A237,ORÇ!$C$1:$I$158,2,0)</f>
        <v>PLANTIO DE PALMEIRA COM ALTURA DE MUDA MENOR OU IGUAL A 2,00 M. AF_05/2018</v>
      </c>
      <c r="C237" s="964"/>
      <c r="D237" s="965"/>
      <c r="E237" s="966"/>
      <c r="F237" s="964"/>
      <c r="G237" s="965"/>
      <c r="H237" s="966"/>
      <c r="I237" s="346"/>
      <c r="J237" s="326"/>
      <c r="K237" s="347"/>
      <c r="L237" s="348"/>
      <c r="M237" s="347" t="s">
        <v>225</v>
      </c>
      <c r="N237" s="329"/>
      <c r="O237" s="961" t="s">
        <v>454</v>
      </c>
      <c r="P237" s="409">
        <f>M239</f>
        <v>12</v>
      </c>
    </row>
    <row r="238" spans="1:15" ht="15">
      <c r="A238" s="385"/>
      <c r="B238" s="315"/>
      <c r="C238" s="529"/>
      <c r="D238" s="530"/>
      <c r="E238" s="531"/>
      <c r="F238" s="529"/>
      <c r="G238" s="530"/>
      <c r="H238" s="531"/>
      <c r="I238" s="346"/>
      <c r="J238" s="326"/>
      <c r="K238" s="347"/>
      <c r="L238" s="348"/>
      <c r="M238" s="347">
        <v>12</v>
      </c>
      <c r="N238" s="334" t="str">
        <f>N239</f>
        <v>UN</v>
      </c>
      <c r="O238" s="962"/>
    </row>
    <row r="239" spans="1:19" ht="15">
      <c r="A239" s="386"/>
      <c r="B239" s="316"/>
      <c r="C239" s="317"/>
      <c r="D239" s="318"/>
      <c r="E239" s="319"/>
      <c r="F239" s="317"/>
      <c r="G239" s="318"/>
      <c r="H239" s="319"/>
      <c r="I239" s="320"/>
      <c r="J239" s="321"/>
      <c r="K239" s="322"/>
      <c r="L239" s="323"/>
      <c r="M239" s="324">
        <f>SUM(M238:M238)</f>
        <v>12</v>
      </c>
      <c r="N239" s="330" t="str">
        <f>VLOOKUP(A237,ORÇ!$C$1:$I$158,3,0)</f>
        <v>UN</v>
      </c>
      <c r="O239" s="963"/>
      <c r="S239" s="366"/>
    </row>
    <row r="240" spans="1:19" ht="15">
      <c r="A240" s="384" t="str">
        <f>ORÇ!C95</f>
        <v>6.0</v>
      </c>
      <c r="B240" s="327" t="str">
        <f>VLOOKUP(A240,ORÇ!$C$1:$I$158,2,0)</f>
        <v>ILUMINAÇÃO PÚBLICA</v>
      </c>
      <c r="C240" s="306"/>
      <c r="D240" s="307"/>
      <c r="E240" s="308"/>
      <c r="F240" s="306"/>
      <c r="G240" s="307"/>
      <c r="H240" s="308"/>
      <c r="I240" s="309"/>
      <c r="J240" s="310"/>
      <c r="K240" s="311"/>
      <c r="L240" s="312"/>
      <c r="M240" s="311"/>
      <c r="N240" s="306"/>
      <c r="O240" s="412"/>
      <c r="S240" s="366"/>
    </row>
    <row r="241" spans="1:19" ht="15">
      <c r="A241" s="384" t="str">
        <f>ORÇ!C96</f>
        <v>6.1</v>
      </c>
      <c r="B241" s="327" t="str">
        <f>VLOOKUP(A241,ORÇ!$C$1:$I$158,2,0)</f>
        <v>PADRÃO DE ENTRADA</v>
      </c>
      <c r="C241" s="306"/>
      <c r="D241" s="307"/>
      <c r="E241" s="308"/>
      <c r="F241" s="306"/>
      <c r="G241" s="307"/>
      <c r="H241" s="308"/>
      <c r="I241" s="309"/>
      <c r="J241" s="310"/>
      <c r="K241" s="311"/>
      <c r="L241" s="312"/>
      <c r="M241" s="311"/>
      <c r="N241" s="306"/>
      <c r="O241" s="412"/>
      <c r="S241" s="366"/>
    </row>
    <row r="242" spans="1:16" ht="48">
      <c r="A242" s="385" t="str">
        <f>ORÇ!C97</f>
        <v>6.1.1</v>
      </c>
      <c r="B242" s="315" t="str">
        <f>VLOOKUP(A242,ORÇ!$C$1:$I$158,2,0)</f>
        <v>Padrão de entrada de energia elétrica, bifásico, entrada subterrânea, a 3 fios, carga instalada em muro de 9001 até 15000W - 220/127V, inclusive derivação de ramal de entrada aérea</v>
      </c>
      <c r="C242" s="583"/>
      <c r="D242" s="584"/>
      <c r="E242" s="585"/>
      <c r="F242" s="583"/>
      <c r="G242" s="584"/>
      <c r="H242" s="585"/>
      <c r="I242" s="346"/>
      <c r="J242" s="326"/>
      <c r="K242" s="347"/>
      <c r="L242" s="348"/>
      <c r="M242" s="347" t="s">
        <v>225</v>
      </c>
      <c r="N242" s="329"/>
      <c r="O242" s="961" t="s">
        <v>557</v>
      </c>
      <c r="P242" s="409">
        <f>M244</f>
        <v>1</v>
      </c>
    </row>
    <row r="243" spans="1:15" ht="15">
      <c r="A243" s="385"/>
      <c r="B243" s="315"/>
      <c r="C243" s="586"/>
      <c r="D243" s="587"/>
      <c r="E243" s="588"/>
      <c r="F243" s="586"/>
      <c r="G243" s="587"/>
      <c r="H243" s="588"/>
      <c r="I243" s="346"/>
      <c r="J243" s="326"/>
      <c r="K243" s="347"/>
      <c r="L243" s="348"/>
      <c r="M243" s="347">
        <v>1</v>
      </c>
      <c r="N243" s="334" t="str">
        <f>N244</f>
        <v>und</v>
      </c>
      <c r="O243" s="962"/>
    </row>
    <row r="244" spans="1:19" ht="15">
      <c r="A244" s="386"/>
      <c r="B244" s="316"/>
      <c r="C244" s="317"/>
      <c r="D244" s="318"/>
      <c r="E244" s="319"/>
      <c r="F244" s="317"/>
      <c r="G244" s="318"/>
      <c r="H244" s="319"/>
      <c r="I244" s="320"/>
      <c r="J244" s="321"/>
      <c r="K244" s="322"/>
      <c r="L244" s="323"/>
      <c r="M244" s="324">
        <f>SUM(M243:M243)</f>
        <v>1</v>
      </c>
      <c r="N244" s="330" t="str">
        <f>VLOOKUP(A242,ORÇ!$C$1:$I$158,3,0)</f>
        <v>und</v>
      </c>
      <c r="O244" s="963"/>
      <c r="S244" s="366"/>
    </row>
    <row r="245" spans="1:19" ht="15">
      <c r="A245" s="384" t="str">
        <f>ORÇ!C98</f>
        <v>6.2</v>
      </c>
      <c r="B245" s="327" t="str">
        <f>VLOOKUP(A245,ORÇ!$C$1:$I$158,2,0)</f>
        <v>POSTES</v>
      </c>
      <c r="C245" s="306"/>
      <c r="D245" s="307"/>
      <c r="E245" s="308"/>
      <c r="F245" s="306"/>
      <c r="G245" s="307"/>
      <c r="H245" s="308"/>
      <c r="I245" s="309"/>
      <c r="J245" s="310"/>
      <c r="K245" s="311"/>
      <c r="L245" s="312"/>
      <c r="M245" s="311"/>
      <c r="N245" s="306"/>
      <c r="O245" s="412"/>
      <c r="S245" s="366"/>
    </row>
    <row r="246" spans="1:16" ht="48">
      <c r="A246" s="385" t="str">
        <f>ORÇ!C99</f>
        <v>6.2.1</v>
      </c>
      <c r="B246" s="315" t="str">
        <f>VLOOKUP(A246,ORÇ!$C$1:$I$158,2,0)</f>
        <v>Fornecimento e instalação de poste de aço cônico continuo, reto, engatado, altura de até 7 metros, com luminária tipo chapéu chinês LED de potência 100W, com alimentação por rede subterrânea</v>
      </c>
      <c r="C246" s="583"/>
      <c r="D246" s="584"/>
      <c r="E246" s="585"/>
      <c r="F246" s="583"/>
      <c r="G246" s="584"/>
      <c r="H246" s="585"/>
      <c r="I246" s="346"/>
      <c r="J246" s="326"/>
      <c r="K246" s="347"/>
      <c r="L246" s="348"/>
      <c r="M246" s="347" t="s">
        <v>225</v>
      </c>
      <c r="N246" s="329"/>
      <c r="O246" s="961" t="s">
        <v>557</v>
      </c>
      <c r="P246" s="409">
        <f>M248</f>
        <v>20</v>
      </c>
    </row>
    <row r="247" spans="1:15" ht="15">
      <c r="A247" s="385"/>
      <c r="B247" s="315"/>
      <c r="C247" s="586"/>
      <c r="D247" s="587"/>
      <c r="E247" s="588"/>
      <c r="F247" s="586"/>
      <c r="G247" s="587"/>
      <c r="H247" s="588"/>
      <c r="I247" s="346"/>
      <c r="J247" s="326"/>
      <c r="K247" s="347"/>
      <c r="L247" s="348"/>
      <c r="M247" s="347">
        <v>20</v>
      </c>
      <c r="N247" s="334" t="str">
        <f>N248</f>
        <v>und</v>
      </c>
      <c r="O247" s="962"/>
    </row>
    <row r="248" spans="1:19" ht="15">
      <c r="A248" s="386"/>
      <c r="B248" s="316"/>
      <c r="C248" s="317"/>
      <c r="D248" s="318"/>
      <c r="E248" s="319"/>
      <c r="F248" s="317"/>
      <c r="G248" s="318"/>
      <c r="H248" s="319"/>
      <c r="I248" s="320"/>
      <c r="J248" s="321"/>
      <c r="K248" s="322"/>
      <c r="L248" s="323"/>
      <c r="M248" s="324">
        <f>SUM(M247:M247)</f>
        <v>20</v>
      </c>
      <c r="N248" s="330" t="str">
        <f>VLOOKUP(A246,ORÇ!$C$1:$I$158,3,0)</f>
        <v>und</v>
      </c>
      <c r="O248" s="963"/>
      <c r="S248" s="366"/>
    </row>
    <row r="249" spans="1:16" ht="24">
      <c r="A249" s="385" t="str">
        <f>ORÇ!C100</f>
        <v>6.2.2</v>
      </c>
      <c r="B249" s="315" t="str">
        <f>VLOOKUP(A249,ORÇ!$C$1:$I$158,2,0)</f>
        <v>Fornecimento e instalação de sistema de aterramento dos postes metálicos</v>
      </c>
      <c r="C249" s="583"/>
      <c r="D249" s="584"/>
      <c r="E249" s="585"/>
      <c r="F249" s="583"/>
      <c r="G249" s="584"/>
      <c r="H249" s="585"/>
      <c r="I249" s="346"/>
      <c r="J249" s="326"/>
      <c r="K249" s="347"/>
      <c r="L249" s="348"/>
      <c r="M249" s="347" t="s">
        <v>225</v>
      </c>
      <c r="N249" s="329"/>
      <c r="O249" s="961" t="s">
        <v>557</v>
      </c>
      <c r="P249" s="409">
        <f>M251</f>
        <v>20</v>
      </c>
    </row>
    <row r="250" spans="1:15" ht="15">
      <c r="A250" s="385"/>
      <c r="B250" s="315"/>
      <c r="C250" s="586"/>
      <c r="D250" s="587"/>
      <c r="E250" s="588"/>
      <c r="F250" s="586"/>
      <c r="G250" s="587"/>
      <c r="H250" s="588"/>
      <c r="I250" s="346"/>
      <c r="J250" s="326"/>
      <c r="K250" s="347"/>
      <c r="L250" s="348"/>
      <c r="M250" s="347">
        <v>20</v>
      </c>
      <c r="N250" s="334" t="str">
        <f>N251</f>
        <v>und</v>
      </c>
      <c r="O250" s="962"/>
    </row>
    <row r="251" spans="1:19" ht="15">
      <c r="A251" s="386"/>
      <c r="B251" s="316"/>
      <c r="C251" s="317"/>
      <c r="D251" s="318"/>
      <c r="E251" s="319"/>
      <c r="F251" s="317"/>
      <c r="G251" s="318"/>
      <c r="H251" s="319"/>
      <c r="I251" s="320"/>
      <c r="J251" s="321"/>
      <c r="K251" s="322"/>
      <c r="L251" s="323"/>
      <c r="M251" s="324">
        <f>SUM(M250:M250)</f>
        <v>20</v>
      </c>
      <c r="N251" s="330" t="str">
        <f>VLOOKUP(A249,ORÇ!$C$1:$I$158,3,0)</f>
        <v>und</v>
      </c>
      <c r="O251" s="963"/>
      <c r="S251" s="366"/>
    </row>
    <row r="252" spans="1:19" ht="15">
      <c r="A252" s="384" t="str">
        <f>ORÇ!C101</f>
        <v>6.3</v>
      </c>
      <c r="B252" s="327" t="str">
        <f>VLOOKUP(A252,ORÇ!$C$1:$I$158,2,0)</f>
        <v>ELETRODUTOS</v>
      </c>
      <c r="C252" s="306"/>
      <c r="D252" s="307"/>
      <c r="E252" s="308"/>
      <c r="F252" s="306"/>
      <c r="G252" s="307"/>
      <c r="H252" s="308"/>
      <c r="I252" s="309"/>
      <c r="J252" s="310"/>
      <c r="K252" s="311"/>
      <c r="L252" s="312"/>
      <c r="M252" s="311"/>
      <c r="N252" s="306"/>
      <c r="O252" s="412"/>
      <c r="S252" s="366"/>
    </row>
    <row r="253" spans="1:16" ht="36">
      <c r="A253" s="385" t="str">
        <f>ORÇ!C102</f>
        <v>6.3.1</v>
      </c>
      <c r="B253" s="315" t="str">
        <f>VLOOKUP(A253,ORÇ!$C$1:$I$158,2,0)</f>
        <v>Fornecimento e instalação de eletroduto PEAD, diâmetro 1", marca ref. Kanaflex ou equivalente, inclusive abertura e fechamento rasgo</v>
      </c>
      <c r="C253" s="583"/>
      <c r="D253" s="584"/>
      <c r="E253" s="585"/>
      <c r="F253" s="583"/>
      <c r="G253" s="584"/>
      <c r="H253" s="585"/>
      <c r="I253" s="346"/>
      <c r="J253" s="326"/>
      <c r="K253" s="347"/>
      <c r="L253" s="348"/>
      <c r="M253" s="347" t="s">
        <v>225</v>
      </c>
      <c r="N253" s="329"/>
      <c r="O253" s="961" t="s">
        <v>557</v>
      </c>
      <c r="P253" s="409">
        <f>M255</f>
        <v>200</v>
      </c>
    </row>
    <row r="254" spans="1:15" ht="15">
      <c r="A254" s="385"/>
      <c r="B254" s="315"/>
      <c r="C254" s="586"/>
      <c r="D254" s="587"/>
      <c r="E254" s="588"/>
      <c r="F254" s="586"/>
      <c r="G254" s="587"/>
      <c r="H254" s="588"/>
      <c r="I254" s="346"/>
      <c r="J254" s="326"/>
      <c r="K254" s="347"/>
      <c r="L254" s="348"/>
      <c r="M254" s="347">
        <v>200</v>
      </c>
      <c r="N254" s="334" t="str">
        <f>N255</f>
        <v>m</v>
      </c>
      <c r="O254" s="962"/>
    </row>
    <row r="255" spans="1:19" ht="15">
      <c r="A255" s="386"/>
      <c r="B255" s="316"/>
      <c r="C255" s="317"/>
      <c r="D255" s="318"/>
      <c r="E255" s="319"/>
      <c r="F255" s="317"/>
      <c r="G255" s="318"/>
      <c r="H255" s="319"/>
      <c r="I255" s="320"/>
      <c r="J255" s="321"/>
      <c r="K255" s="322"/>
      <c r="L255" s="323"/>
      <c r="M255" s="324">
        <f>SUM(M254:M254)</f>
        <v>200</v>
      </c>
      <c r="N255" s="330" t="str">
        <f>VLOOKUP(A253,ORÇ!$C$1:$I$158,3,0)</f>
        <v>m</v>
      </c>
      <c r="O255" s="963"/>
      <c r="S255" s="366"/>
    </row>
    <row r="256" spans="1:19" ht="15">
      <c r="A256" s="384" t="str">
        <f>ORÇ!C103</f>
        <v>6.4</v>
      </c>
      <c r="B256" s="327" t="str">
        <f>VLOOKUP(A256,ORÇ!$C$1:$I$158,2,0)</f>
        <v>CONDUTORES</v>
      </c>
      <c r="C256" s="306"/>
      <c r="D256" s="307"/>
      <c r="E256" s="308"/>
      <c r="F256" s="306"/>
      <c r="G256" s="307"/>
      <c r="H256" s="308"/>
      <c r="I256" s="309"/>
      <c r="J256" s="310"/>
      <c r="K256" s="311"/>
      <c r="L256" s="312"/>
      <c r="M256" s="311"/>
      <c r="N256" s="306"/>
      <c r="O256" s="412"/>
      <c r="S256" s="366"/>
    </row>
    <row r="257" spans="1:16" ht="24">
      <c r="A257" s="385" t="str">
        <f>ORÇ!C104</f>
        <v>6.4.1</v>
      </c>
      <c r="B257" s="315" t="str">
        <f>VLOOKUP(A257,ORÇ!$C$1:$I$158,2,0)</f>
        <v>Fornecimento e lançamento de Condutor BT-2x4mm² para rede subterrânea</v>
      </c>
      <c r="C257" s="583"/>
      <c r="D257" s="584"/>
      <c r="E257" s="585"/>
      <c r="F257" s="583"/>
      <c r="G257" s="584"/>
      <c r="H257" s="585"/>
      <c r="I257" s="346"/>
      <c r="J257" s="326"/>
      <c r="K257" s="347"/>
      <c r="L257" s="348"/>
      <c r="M257" s="347" t="s">
        <v>225</v>
      </c>
      <c r="N257" s="329"/>
      <c r="O257" s="961" t="s">
        <v>557</v>
      </c>
      <c r="P257" s="409">
        <f>M259</f>
        <v>525</v>
      </c>
    </row>
    <row r="258" spans="1:15" ht="15">
      <c r="A258" s="385"/>
      <c r="B258" s="315"/>
      <c r="C258" s="586"/>
      <c r="D258" s="587"/>
      <c r="E258" s="588"/>
      <c r="F258" s="586"/>
      <c r="G258" s="587"/>
      <c r="H258" s="588"/>
      <c r="I258" s="346"/>
      <c r="J258" s="326"/>
      <c r="K258" s="347"/>
      <c r="L258" s="348"/>
      <c r="M258" s="347">
        <v>525</v>
      </c>
      <c r="N258" s="334" t="str">
        <f>N259</f>
        <v>m</v>
      </c>
      <c r="O258" s="962"/>
    </row>
    <row r="259" spans="1:19" ht="15">
      <c r="A259" s="386"/>
      <c r="B259" s="316"/>
      <c r="C259" s="317"/>
      <c r="D259" s="318"/>
      <c r="E259" s="319"/>
      <c r="F259" s="317"/>
      <c r="G259" s="318"/>
      <c r="H259" s="319"/>
      <c r="I259" s="320"/>
      <c r="J259" s="321"/>
      <c r="K259" s="322"/>
      <c r="L259" s="323"/>
      <c r="M259" s="324">
        <f>SUM(M258:M258)</f>
        <v>525</v>
      </c>
      <c r="N259" s="330" t="str">
        <f>VLOOKUP(A257,ORÇ!$C$1:$I$158,3,0)</f>
        <v>m</v>
      </c>
      <c r="O259" s="963"/>
      <c r="S259" s="366"/>
    </row>
    <row r="260" spans="1:16" ht="24">
      <c r="A260" s="385" t="str">
        <f>ORÇ!C105</f>
        <v>6.4.2</v>
      </c>
      <c r="B260" s="315" t="str">
        <f>VLOOKUP(A260,ORÇ!$C$1:$I$158,2,0)</f>
        <v>Fornecimento e lançamento de Condutor BT-2x1x16+16mm² para extensão de rede</v>
      </c>
      <c r="C260" s="583"/>
      <c r="D260" s="584"/>
      <c r="E260" s="585"/>
      <c r="F260" s="583"/>
      <c r="G260" s="584"/>
      <c r="H260" s="585"/>
      <c r="I260" s="346"/>
      <c r="J260" s="326"/>
      <c r="K260" s="347"/>
      <c r="L260" s="348"/>
      <c r="M260" s="347" t="s">
        <v>225</v>
      </c>
      <c r="N260" s="329"/>
      <c r="O260" s="961" t="s">
        <v>557</v>
      </c>
      <c r="P260" s="409">
        <f>M262</f>
        <v>27</v>
      </c>
    </row>
    <row r="261" spans="1:15" ht="15">
      <c r="A261" s="385"/>
      <c r="B261" s="315"/>
      <c r="C261" s="586"/>
      <c r="D261" s="587"/>
      <c r="E261" s="588"/>
      <c r="F261" s="586"/>
      <c r="G261" s="587"/>
      <c r="H261" s="588"/>
      <c r="I261" s="346"/>
      <c r="J261" s="326"/>
      <c r="K261" s="347"/>
      <c r="L261" s="348"/>
      <c r="M261" s="347">
        <v>27</v>
      </c>
      <c r="N261" s="334" t="str">
        <f>N262</f>
        <v>m</v>
      </c>
      <c r="O261" s="962"/>
    </row>
    <row r="262" spans="1:19" ht="15">
      <c r="A262" s="386"/>
      <c r="B262" s="316"/>
      <c r="C262" s="317"/>
      <c r="D262" s="318"/>
      <c r="E262" s="319"/>
      <c r="F262" s="317"/>
      <c r="G262" s="318"/>
      <c r="H262" s="319"/>
      <c r="I262" s="320"/>
      <c r="J262" s="321"/>
      <c r="K262" s="322"/>
      <c r="L262" s="323"/>
      <c r="M262" s="324">
        <f>SUM(M261:M261)</f>
        <v>27</v>
      </c>
      <c r="N262" s="330" t="str">
        <f>VLOOKUP(A260,ORÇ!$C$1:$I$158,3,0)</f>
        <v>m</v>
      </c>
      <c r="O262" s="963"/>
      <c r="S262" s="366"/>
    </row>
    <row r="263" spans="1:19" ht="15">
      <c r="A263" s="384" t="str">
        <f>ORÇ!C106</f>
        <v>6.5</v>
      </c>
      <c r="B263" s="327" t="str">
        <f>VLOOKUP(A263,ORÇ!$C$1:$I$158,2,0)</f>
        <v>REMOÇÃO DE EQUIPAMENTOS DE ILUMINAÇÃO PÚBLICA</v>
      </c>
      <c r="C263" s="306"/>
      <c r="D263" s="307"/>
      <c r="E263" s="308"/>
      <c r="F263" s="306"/>
      <c r="G263" s="307"/>
      <c r="H263" s="308"/>
      <c r="I263" s="309"/>
      <c r="J263" s="310"/>
      <c r="K263" s="311"/>
      <c r="L263" s="312"/>
      <c r="M263" s="311"/>
      <c r="N263" s="306"/>
      <c r="O263" s="412"/>
      <c r="S263" s="366"/>
    </row>
    <row r="264" spans="1:16" ht="15">
      <c r="A264" s="385" t="str">
        <f>ORÇ!C107</f>
        <v>6.5.1</v>
      </c>
      <c r="B264" s="315" t="str">
        <f>VLOOKUP(A264,ORÇ!$C$1:$I$158,2,0)</f>
        <v>Retirada de braço, para fixação de luminárias</v>
      </c>
      <c r="C264" s="583"/>
      <c r="D264" s="584"/>
      <c r="E264" s="585"/>
      <c r="F264" s="583"/>
      <c r="G264" s="584"/>
      <c r="H264" s="585"/>
      <c r="I264" s="346"/>
      <c r="J264" s="326"/>
      <c r="K264" s="347"/>
      <c r="L264" s="348"/>
      <c r="M264" s="347" t="s">
        <v>225</v>
      </c>
      <c r="N264" s="329"/>
      <c r="O264" s="961" t="s">
        <v>557</v>
      </c>
      <c r="P264" s="409">
        <f>M266</f>
        <v>7</v>
      </c>
    </row>
    <row r="265" spans="1:15" ht="15">
      <c r="A265" s="385"/>
      <c r="B265" s="315"/>
      <c r="C265" s="586"/>
      <c r="D265" s="587"/>
      <c r="E265" s="588"/>
      <c r="F265" s="586"/>
      <c r="G265" s="587"/>
      <c r="H265" s="588"/>
      <c r="I265" s="346"/>
      <c r="J265" s="326"/>
      <c r="K265" s="347"/>
      <c r="L265" s="348"/>
      <c r="M265" s="347">
        <v>7</v>
      </c>
      <c r="N265" s="334" t="str">
        <f>N266</f>
        <v>und</v>
      </c>
      <c r="O265" s="962"/>
    </row>
    <row r="266" spans="1:19" ht="15">
      <c r="A266" s="386"/>
      <c r="B266" s="316"/>
      <c r="C266" s="317"/>
      <c r="D266" s="318"/>
      <c r="E266" s="319"/>
      <c r="F266" s="317"/>
      <c r="G266" s="318"/>
      <c r="H266" s="319"/>
      <c r="I266" s="320"/>
      <c r="J266" s="321"/>
      <c r="K266" s="322"/>
      <c r="L266" s="323"/>
      <c r="M266" s="324">
        <f>SUM(M265:M265)</f>
        <v>7</v>
      </c>
      <c r="N266" s="330" t="str">
        <f>VLOOKUP(A264,ORÇ!$C$1:$I$158,3,0)</f>
        <v>und</v>
      </c>
      <c r="O266" s="963"/>
      <c r="S266" s="366"/>
    </row>
    <row r="267" spans="1:16" ht="15">
      <c r="A267" s="385" t="str">
        <f>ORÇ!C108</f>
        <v>6.5.2</v>
      </c>
      <c r="B267" s="315" t="str">
        <f>VLOOKUP(A267,ORÇ!$C$1:$I$158,2,0)</f>
        <v>Retirada de poste de concreto ou aço de 6m a 12m</v>
      </c>
      <c r="C267" s="583"/>
      <c r="D267" s="584"/>
      <c r="E267" s="585"/>
      <c r="F267" s="583"/>
      <c r="G267" s="584"/>
      <c r="H267" s="585"/>
      <c r="I267" s="346"/>
      <c r="J267" s="326"/>
      <c r="K267" s="347"/>
      <c r="L267" s="348"/>
      <c r="M267" s="347" t="s">
        <v>225</v>
      </c>
      <c r="N267" s="329"/>
      <c r="O267" s="961" t="s">
        <v>557</v>
      </c>
      <c r="P267" s="409">
        <f>M269</f>
        <v>7</v>
      </c>
    </row>
    <row r="268" spans="1:15" ht="15">
      <c r="A268" s="385"/>
      <c r="B268" s="315"/>
      <c r="C268" s="586"/>
      <c r="D268" s="587"/>
      <c r="E268" s="588"/>
      <c r="F268" s="586"/>
      <c r="G268" s="587"/>
      <c r="H268" s="588"/>
      <c r="I268" s="346"/>
      <c r="J268" s="326"/>
      <c r="K268" s="347"/>
      <c r="L268" s="348"/>
      <c r="M268" s="347">
        <v>7</v>
      </c>
      <c r="N268" s="334" t="str">
        <f>N269</f>
        <v>und</v>
      </c>
      <c r="O268" s="962"/>
    </row>
    <row r="269" spans="1:19" ht="15">
      <c r="A269" s="386"/>
      <c r="B269" s="316"/>
      <c r="C269" s="317"/>
      <c r="D269" s="318"/>
      <c r="E269" s="319"/>
      <c r="F269" s="317"/>
      <c r="G269" s="318"/>
      <c r="H269" s="319"/>
      <c r="I269" s="320"/>
      <c r="J269" s="321"/>
      <c r="K269" s="322"/>
      <c r="L269" s="323"/>
      <c r="M269" s="324">
        <f>SUM(M268:M268)</f>
        <v>7</v>
      </c>
      <c r="N269" s="330" t="str">
        <f>VLOOKUP(A267,ORÇ!$C$1:$I$158,3,0)</f>
        <v>und</v>
      </c>
      <c r="O269" s="963"/>
      <c r="S269" s="366"/>
    </row>
    <row r="270" spans="1:16" ht="15">
      <c r="A270" s="385" t="str">
        <f>ORÇ!C109</f>
        <v>6.5.3</v>
      </c>
      <c r="B270" s="315" t="str">
        <f>VLOOKUP(A270,ORÇ!$C$1:$I$158,2,0)</f>
        <v>Retirada de luminária em poste com 10m a 12m de altura</v>
      </c>
      <c r="C270" s="583"/>
      <c r="D270" s="584"/>
      <c r="E270" s="585"/>
      <c r="F270" s="583"/>
      <c r="G270" s="584"/>
      <c r="H270" s="585"/>
      <c r="I270" s="346"/>
      <c r="J270" s="326"/>
      <c r="K270" s="347"/>
      <c r="L270" s="348"/>
      <c r="M270" s="347" t="s">
        <v>225</v>
      </c>
      <c r="N270" s="329"/>
      <c r="O270" s="961" t="s">
        <v>557</v>
      </c>
      <c r="P270" s="409">
        <f>M272</f>
        <v>7</v>
      </c>
    </row>
    <row r="271" spans="1:15" ht="15">
      <c r="A271" s="385"/>
      <c r="B271" s="315"/>
      <c r="C271" s="586"/>
      <c r="D271" s="587"/>
      <c r="E271" s="588"/>
      <c r="F271" s="586"/>
      <c r="G271" s="587"/>
      <c r="H271" s="588"/>
      <c r="I271" s="346"/>
      <c r="J271" s="326"/>
      <c r="K271" s="347"/>
      <c r="L271" s="348"/>
      <c r="M271" s="347">
        <v>7</v>
      </c>
      <c r="N271" s="334" t="str">
        <f>N272</f>
        <v>und</v>
      </c>
      <c r="O271" s="962"/>
    </row>
    <row r="272" spans="1:19" ht="15">
      <c r="A272" s="386"/>
      <c r="B272" s="316"/>
      <c r="C272" s="317"/>
      <c r="D272" s="318"/>
      <c r="E272" s="319"/>
      <c r="F272" s="317"/>
      <c r="G272" s="318"/>
      <c r="H272" s="319"/>
      <c r="I272" s="320"/>
      <c r="J272" s="321"/>
      <c r="K272" s="322"/>
      <c r="L272" s="323"/>
      <c r="M272" s="324">
        <f>SUM(M271:M271)</f>
        <v>7</v>
      </c>
      <c r="N272" s="330" t="str">
        <f>VLOOKUP(A270,ORÇ!$C$1:$I$158,3,0)</f>
        <v>und</v>
      </c>
      <c r="O272" s="963"/>
      <c r="S272" s="366"/>
    </row>
    <row r="273" spans="1:16" ht="24">
      <c r="A273" s="385" t="str">
        <f>ORÇ!C110</f>
        <v>6.5.4</v>
      </c>
      <c r="B273" s="315" t="str">
        <f>VLOOKUP(A273,ORÇ!$C$1:$I$158,2,0)</f>
        <v>Retirada de reator para lâmpada de descarga instalado de 8m até 13m de altura</v>
      </c>
      <c r="C273" s="583"/>
      <c r="D273" s="584"/>
      <c r="E273" s="585"/>
      <c r="F273" s="583"/>
      <c r="G273" s="584"/>
      <c r="H273" s="585"/>
      <c r="I273" s="346"/>
      <c r="J273" s="326"/>
      <c r="K273" s="347"/>
      <c r="L273" s="348"/>
      <c r="M273" s="347" t="s">
        <v>225</v>
      </c>
      <c r="N273" s="329"/>
      <c r="O273" s="961" t="s">
        <v>557</v>
      </c>
      <c r="P273" s="409">
        <f>M275</f>
        <v>4</v>
      </c>
    </row>
    <row r="274" spans="1:15" ht="15">
      <c r="A274" s="385"/>
      <c r="B274" s="315"/>
      <c r="C274" s="586"/>
      <c r="D274" s="587"/>
      <c r="E274" s="588"/>
      <c r="F274" s="586"/>
      <c r="G274" s="587"/>
      <c r="H274" s="588"/>
      <c r="I274" s="346"/>
      <c r="J274" s="326"/>
      <c r="K274" s="347"/>
      <c r="L274" s="348"/>
      <c r="M274" s="347">
        <v>4</v>
      </c>
      <c r="N274" s="334" t="str">
        <f>N275</f>
        <v>und</v>
      </c>
      <c r="O274" s="962"/>
    </row>
    <row r="275" spans="1:19" ht="15">
      <c r="A275" s="386"/>
      <c r="B275" s="316"/>
      <c r="C275" s="317"/>
      <c r="D275" s="318"/>
      <c r="E275" s="319"/>
      <c r="F275" s="317"/>
      <c r="G275" s="318"/>
      <c r="H275" s="319"/>
      <c r="I275" s="320"/>
      <c r="J275" s="321"/>
      <c r="K275" s="322"/>
      <c r="L275" s="323"/>
      <c r="M275" s="324">
        <f>SUM(M274:M274)</f>
        <v>4</v>
      </c>
      <c r="N275" s="330" t="str">
        <f>VLOOKUP(A273,ORÇ!$C$1:$I$158,3,0)</f>
        <v>und</v>
      </c>
      <c r="O275" s="963"/>
      <c r="S275" s="366"/>
    </row>
    <row r="276" spans="1:16" ht="24">
      <c r="A276" s="385" t="str">
        <f>ORÇ!C111</f>
        <v>6.5.5</v>
      </c>
      <c r="B276" s="315" t="str">
        <f>VLOOKUP(A276,ORÇ!$C$1:$I$158,2,0)</f>
        <v>Retirada ou substituição de relé fotoelétrico individual, instalado até 13m de altura</v>
      </c>
      <c r="C276" s="583"/>
      <c r="D276" s="584"/>
      <c r="E276" s="585"/>
      <c r="F276" s="583"/>
      <c r="G276" s="584"/>
      <c r="H276" s="585"/>
      <c r="I276" s="346"/>
      <c r="J276" s="326"/>
      <c r="K276" s="347"/>
      <c r="L276" s="348"/>
      <c r="M276" s="347" t="s">
        <v>225</v>
      </c>
      <c r="N276" s="329"/>
      <c r="O276" s="961" t="s">
        <v>557</v>
      </c>
      <c r="P276" s="409">
        <f>M278</f>
        <v>2</v>
      </c>
    </row>
    <row r="277" spans="1:15" ht="15">
      <c r="A277" s="385"/>
      <c r="B277" s="315"/>
      <c r="C277" s="586"/>
      <c r="D277" s="587"/>
      <c r="E277" s="588"/>
      <c r="F277" s="586"/>
      <c r="G277" s="587"/>
      <c r="H277" s="588"/>
      <c r="I277" s="346"/>
      <c r="J277" s="326"/>
      <c r="K277" s="347"/>
      <c r="L277" s="348"/>
      <c r="M277" s="347">
        <v>2</v>
      </c>
      <c r="N277" s="334" t="str">
        <f>N278</f>
        <v>und</v>
      </c>
      <c r="O277" s="962"/>
    </row>
    <row r="278" spans="1:19" ht="15">
      <c r="A278" s="386"/>
      <c r="B278" s="316"/>
      <c r="C278" s="317"/>
      <c r="D278" s="318"/>
      <c r="E278" s="319"/>
      <c r="F278" s="317"/>
      <c r="G278" s="318"/>
      <c r="H278" s="319"/>
      <c r="I278" s="320"/>
      <c r="J278" s="321"/>
      <c r="K278" s="322"/>
      <c r="L278" s="323"/>
      <c r="M278" s="324">
        <f>SUM(M277:M277)</f>
        <v>2</v>
      </c>
      <c r="N278" s="330" t="str">
        <f>VLOOKUP(A276,ORÇ!$C$1:$I$158,3,0)</f>
        <v>und</v>
      </c>
      <c r="O278" s="963"/>
      <c r="S278" s="366"/>
    </row>
    <row r="279" spans="1:15" ht="15">
      <c r="A279" s="384" t="str">
        <f>ORÇ!C114</f>
        <v>7.0</v>
      </c>
      <c r="B279" s="327" t="str">
        <f>VLOOKUP(A279,ORÇ!$C$1:$I$158,2,0)</f>
        <v>TRANSPORTES</v>
      </c>
      <c r="C279" s="306"/>
      <c r="D279" s="307"/>
      <c r="E279" s="308"/>
      <c r="F279" s="306"/>
      <c r="G279" s="307"/>
      <c r="H279" s="308"/>
      <c r="I279" s="309"/>
      <c r="J279" s="310"/>
      <c r="K279" s="311"/>
      <c r="L279" s="312"/>
      <c r="M279" s="311"/>
      <c r="N279" s="306"/>
      <c r="O279" s="412"/>
    </row>
    <row r="280" spans="1:16" ht="24">
      <c r="A280" s="385" t="str">
        <f>ORÇ!C115</f>
        <v>7.1</v>
      </c>
      <c r="B280" s="315" t="str">
        <f>VLOOKUP(A280,ORÇ!$C$1:$I$158,2,0)</f>
        <v>Transporte com caminhão basculante de 10 m³ - rodovia pavimentada</v>
      </c>
      <c r="C280" s="964"/>
      <c r="D280" s="965"/>
      <c r="E280" s="966"/>
      <c r="F280" s="964"/>
      <c r="G280" s="965"/>
      <c r="H280" s="966"/>
      <c r="I280" s="346"/>
      <c r="J280" s="326"/>
      <c r="K280" s="347"/>
      <c r="L280" s="348"/>
      <c r="M280" s="347" t="s">
        <v>225</v>
      </c>
      <c r="N280" s="333"/>
      <c r="O280" s="967" t="s">
        <v>212</v>
      </c>
      <c r="P280" s="409">
        <f>M282</f>
        <v>25319.74170632729</v>
      </c>
    </row>
    <row r="281" spans="1:16" ht="15">
      <c r="A281" s="385"/>
      <c r="B281" s="349"/>
      <c r="C281" s="383"/>
      <c r="D281" s="325"/>
      <c r="E281" s="350"/>
      <c r="F281" s="383"/>
      <c r="G281" s="325"/>
      <c r="H281" s="350"/>
      <c r="I281" s="346"/>
      <c r="J281" s="347"/>
      <c r="K281" s="347"/>
      <c r="L281" s="348"/>
      <c r="M281" s="347"/>
      <c r="N281" s="334"/>
      <c r="O281" s="962"/>
      <c r="P281" t="s">
        <v>112</v>
      </c>
    </row>
    <row r="282" spans="1:15" ht="15">
      <c r="A282" s="386"/>
      <c r="B282" s="316"/>
      <c r="C282" s="317"/>
      <c r="D282" s="318"/>
      <c r="E282" s="319"/>
      <c r="F282" s="317"/>
      <c r="G282" s="318"/>
      <c r="H282" s="319"/>
      <c r="I282" s="320"/>
      <c r="J282" s="321"/>
      <c r="K282" s="322"/>
      <c r="L282" s="323"/>
      <c r="M282" s="324">
        <f>SUMIF('TRANSP.'!T:T,MEMORIA!P281,'TRANSP.'!Q:Q)</f>
        <v>25319.74170632729</v>
      </c>
      <c r="N282" s="330" t="str">
        <f>VLOOKUP(A280,ORÇ!$C$1:$I$158,3,0)</f>
        <v>tkm</v>
      </c>
      <c r="O282" s="962"/>
    </row>
    <row r="283" spans="1:16" ht="24">
      <c r="A283" s="385" t="str">
        <f>ORÇ!C116</f>
        <v>7.2</v>
      </c>
      <c r="B283" s="315" t="str">
        <f>VLOOKUP(A283,ORÇ!$C$1:$I$158,2,0)</f>
        <v>Transporte com caminhão basculante de 10 m³ - rodovia em revestimento primário</v>
      </c>
      <c r="C283" s="964"/>
      <c r="D283" s="965"/>
      <c r="E283" s="966"/>
      <c r="F283" s="964"/>
      <c r="G283" s="965"/>
      <c r="H283" s="966"/>
      <c r="I283" s="346"/>
      <c r="J283" s="326"/>
      <c r="K283" s="347"/>
      <c r="L283" s="348"/>
      <c r="M283" s="347" t="s">
        <v>225</v>
      </c>
      <c r="N283" s="333"/>
      <c r="O283" s="962"/>
      <c r="P283" s="409">
        <f>M285</f>
        <v>1031.086627923062</v>
      </c>
    </row>
    <row r="284" spans="1:16" ht="15">
      <c r="A284" s="385"/>
      <c r="B284" s="349"/>
      <c r="C284" s="383"/>
      <c r="D284" s="325"/>
      <c r="E284" s="350"/>
      <c r="F284" s="383"/>
      <c r="G284" s="325"/>
      <c r="H284" s="350"/>
      <c r="I284" s="346"/>
      <c r="J284" s="347"/>
      <c r="K284" s="347"/>
      <c r="L284" s="348"/>
      <c r="M284" s="347"/>
      <c r="N284" s="334"/>
      <c r="O284" s="962"/>
      <c r="P284" t="s">
        <v>112</v>
      </c>
    </row>
    <row r="285" spans="1:15" ht="15">
      <c r="A285" s="386"/>
      <c r="B285" s="316"/>
      <c r="C285" s="317"/>
      <c r="D285" s="318"/>
      <c r="E285" s="319"/>
      <c r="F285" s="317"/>
      <c r="G285" s="318"/>
      <c r="H285" s="319"/>
      <c r="I285" s="320"/>
      <c r="J285" s="321"/>
      <c r="K285" s="322"/>
      <c r="L285" s="323"/>
      <c r="M285" s="324">
        <f>SUMIF('TRANSP.'!T:T,MEMORIA!P284,'TRANSP.'!R:R)</f>
        <v>1031.086627923062</v>
      </c>
      <c r="N285" s="330" t="str">
        <f>VLOOKUP(A283,ORÇ!$C$1:$I$158,3,0)</f>
        <v>tkm</v>
      </c>
      <c r="O285" s="962"/>
    </row>
    <row r="286" spans="1:16" ht="24">
      <c r="A286" s="385" t="str">
        <f>ORÇ!C117</f>
        <v>7.3</v>
      </c>
      <c r="B286" s="315" t="str">
        <f>VLOOKUP(A286,ORÇ!$C$1:$I$158,2,0)</f>
        <v>Transporte com caminhão carroceria de 15 t - rodovia pavimentada</v>
      </c>
      <c r="C286" s="964"/>
      <c r="D286" s="965"/>
      <c r="E286" s="966"/>
      <c r="F286" s="964"/>
      <c r="G286" s="965"/>
      <c r="H286" s="966"/>
      <c r="I286" s="346"/>
      <c r="J286" s="326"/>
      <c r="K286" s="347"/>
      <c r="L286" s="348"/>
      <c r="M286" s="347" t="s">
        <v>225</v>
      </c>
      <c r="N286" s="333"/>
      <c r="O286" s="962"/>
      <c r="P286" s="409">
        <f>M288</f>
        <v>612.8364155533293</v>
      </c>
    </row>
    <row r="287" spans="1:16" ht="15">
      <c r="A287" s="385"/>
      <c r="B287" s="349"/>
      <c r="C287" s="383"/>
      <c r="D287" s="325"/>
      <c r="E287" s="350"/>
      <c r="F287" s="383"/>
      <c r="G287" s="325"/>
      <c r="H287" s="350"/>
      <c r="I287" s="346"/>
      <c r="J287" s="347"/>
      <c r="K287" s="347"/>
      <c r="L287" s="348"/>
      <c r="M287" s="347"/>
      <c r="N287" s="334"/>
      <c r="O287" s="962"/>
      <c r="P287" t="s">
        <v>117</v>
      </c>
    </row>
    <row r="288" spans="1:15" ht="15">
      <c r="A288" s="386"/>
      <c r="B288" s="316"/>
      <c r="C288" s="317"/>
      <c r="D288" s="318"/>
      <c r="E288" s="319"/>
      <c r="F288" s="317"/>
      <c r="G288" s="318"/>
      <c r="H288" s="319"/>
      <c r="I288" s="320"/>
      <c r="J288" s="321"/>
      <c r="K288" s="322"/>
      <c r="L288" s="323"/>
      <c r="M288" s="324">
        <f>SUMIF('TRANSP.'!T:T,MEMORIA!P287,'TRANSP.'!Q:Q)</f>
        <v>612.8364155533293</v>
      </c>
      <c r="N288" s="330" t="str">
        <f>VLOOKUP(A286,ORÇ!$C$1:$I$158,3,0)</f>
        <v>tkm</v>
      </c>
      <c r="O288" s="962"/>
    </row>
    <row r="289" spans="1:16" ht="24">
      <c r="A289" s="385" t="str">
        <f>ORÇ!C118</f>
        <v>7.4</v>
      </c>
      <c r="B289" s="315" t="str">
        <f>VLOOKUP(A289,ORÇ!$C$1:$I$158,2,0)</f>
        <v>Transporte com caminhão carroceria de 15 t - rodovia em revestimento primário</v>
      </c>
      <c r="C289" s="964"/>
      <c r="D289" s="965"/>
      <c r="E289" s="966"/>
      <c r="F289" s="964"/>
      <c r="G289" s="965"/>
      <c r="H289" s="966"/>
      <c r="I289" s="346"/>
      <c r="J289" s="326"/>
      <c r="K289" s="347"/>
      <c r="L289" s="348"/>
      <c r="M289" s="347" t="s">
        <v>225</v>
      </c>
      <c r="N289" s="333"/>
      <c r="O289" s="962"/>
      <c r="P289" s="409">
        <f>M291</f>
        <v>26.307230551001414</v>
      </c>
    </row>
    <row r="290" spans="1:16" ht="15">
      <c r="A290" s="385"/>
      <c r="B290" s="349"/>
      <c r="C290" s="529"/>
      <c r="D290" s="530"/>
      <c r="E290" s="531"/>
      <c r="F290" s="529"/>
      <c r="G290" s="530"/>
      <c r="H290" s="531"/>
      <c r="I290" s="346"/>
      <c r="J290" s="347"/>
      <c r="K290" s="347"/>
      <c r="L290" s="348"/>
      <c r="M290" s="347"/>
      <c r="N290" s="334"/>
      <c r="O290" s="962"/>
      <c r="P290" t="s">
        <v>117</v>
      </c>
    </row>
    <row r="291" spans="1:15" ht="15">
      <c r="A291" s="386"/>
      <c r="B291" s="316"/>
      <c r="C291" s="317"/>
      <c r="D291" s="318"/>
      <c r="E291" s="319"/>
      <c r="F291" s="317"/>
      <c r="G291" s="318"/>
      <c r="H291" s="319"/>
      <c r="I291" s="320"/>
      <c r="J291" s="321"/>
      <c r="K291" s="322"/>
      <c r="L291" s="323"/>
      <c r="M291" s="324">
        <f>SUMIF('TRANSP.'!T:T,MEMORIA!P290,'TRANSP.'!R:R)</f>
        <v>26.307230551001414</v>
      </c>
      <c r="N291" s="330" t="str">
        <f>VLOOKUP(A289,ORÇ!$C$1:$I$158,3,0)</f>
        <v>tkm</v>
      </c>
      <c r="O291" s="962"/>
    </row>
    <row r="292" spans="1:16" ht="24">
      <c r="A292" s="385" t="str">
        <f>ORÇ!C119</f>
        <v>7.5</v>
      </c>
      <c r="B292" s="315" t="str">
        <f>VLOOKUP(A292,ORÇ!$C$1:$I$158,2,0)</f>
        <v>Transporte com caminhão carroceria com capacidade de 7 t e com guindauto de 20 t.m - rodovia pavimentada</v>
      </c>
      <c r="C292" s="964"/>
      <c r="D292" s="965"/>
      <c r="E292" s="966"/>
      <c r="F292" s="964"/>
      <c r="G292" s="965"/>
      <c r="H292" s="966"/>
      <c r="I292" s="346"/>
      <c r="J292" s="326"/>
      <c r="K292" s="347"/>
      <c r="L292" s="348"/>
      <c r="M292" s="347" t="s">
        <v>225</v>
      </c>
      <c r="N292" s="333"/>
      <c r="O292" s="962"/>
      <c r="P292" s="409">
        <f>M294</f>
        <v>20.531652</v>
      </c>
    </row>
    <row r="293" spans="1:16" ht="15">
      <c r="A293" s="385"/>
      <c r="B293" s="349"/>
      <c r="C293" s="383"/>
      <c r="D293" s="325"/>
      <c r="E293" s="350"/>
      <c r="F293" s="383"/>
      <c r="G293" s="325"/>
      <c r="H293" s="350"/>
      <c r="I293" s="346"/>
      <c r="J293" s="347"/>
      <c r="K293" s="347"/>
      <c r="L293" s="348"/>
      <c r="M293" s="347"/>
      <c r="N293" s="334"/>
      <c r="O293" s="962"/>
      <c r="P293" t="s">
        <v>298</v>
      </c>
    </row>
    <row r="294" spans="1:15" ht="15">
      <c r="A294" s="386"/>
      <c r="B294" s="316"/>
      <c r="C294" s="317"/>
      <c r="D294" s="318"/>
      <c r="E294" s="319"/>
      <c r="F294" s="317"/>
      <c r="G294" s="318"/>
      <c r="H294" s="319"/>
      <c r="I294" s="320"/>
      <c r="J294" s="321"/>
      <c r="K294" s="322"/>
      <c r="L294" s="323"/>
      <c r="M294" s="324">
        <f>SUMIF('TRANSP.'!T:T,MEMORIA!P293,'TRANSP.'!Q:Q)</f>
        <v>20.531652</v>
      </c>
      <c r="N294" s="330" t="str">
        <f>VLOOKUP(A292,ORÇ!$C$1:$I$158,3,0)</f>
        <v>tkm</v>
      </c>
      <c r="O294" s="963"/>
    </row>
    <row r="295" spans="1:15" ht="15">
      <c r="A295" s="474" t="str">
        <f>ORÇ!C122</f>
        <v>8.0</v>
      </c>
      <c r="B295" s="475" t="str">
        <f>VLOOKUP(A295,ORÇ!$C$1:$I$158,2,0)</f>
        <v>INSTALAÇÃO MANUT. CANTEIRO, PLACAS DE OBRAS</v>
      </c>
      <c r="C295" s="476"/>
      <c r="D295" s="477"/>
      <c r="E295" s="478"/>
      <c r="F295" s="476"/>
      <c r="G295" s="477"/>
      <c r="H295" s="478"/>
      <c r="I295" s="479"/>
      <c r="J295" s="480"/>
      <c r="K295" s="481"/>
      <c r="L295" s="482"/>
      <c r="M295" s="481"/>
      <c r="N295" s="476"/>
      <c r="O295" s="483"/>
    </row>
    <row r="296" spans="1:15" ht="15">
      <c r="A296" s="384" t="str">
        <f>ORÇ!C123</f>
        <v>8.1</v>
      </c>
      <c r="B296" s="327" t="str">
        <f>VLOOKUP(A296,ORÇ!$C$1:$I$158,2,0)</f>
        <v>CANTEIRO DE OBRAS</v>
      </c>
      <c r="C296" s="306"/>
      <c r="D296" s="307"/>
      <c r="E296" s="308"/>
      <c r="F296" s="306"/>
      <c r="G296" s="307"/>
      <c r="H296" s="308"/>
      <c r="I296" s="309"/>
      <c r="J296" s="310"/>
      <c r="K296" s="311"/>
      <c r="L296" s="312"/>
      <c r="M296" s="311"/>
      <c r="N296" s="306"/>
      <c r="O296" s="410"/>
    </row>
    <row r="297" spans="1:16" ht="24">
      <c r="A297" s="385" t="str">
        <f>ORÇ!C124</f>
        <v>8.1.1</v>
      </c>
      <c r="B297" s="315" t="str">
        <f>VLOOKUP(A297,ORÇ!$C$1:$I$158,2,0)</f>
        <v>Placa de obra nas dimensões de 3,0 x 6,0 m, padrão DER-ES</v>
      </c>
      <c r="C297" s="964"/>
      <c r="D297" s="965"/>
      <c r="E297" s="966"/>
      <c r="F297" s="964"/>
      <c r="G297" s="965"/>
      <c r="H297" s="966"/>
      <c r="I297" s="346"/>
      <c r="J297" s="326" t="s">
        <v>223</v>
      </c>
      <c r="K297" s="347" t="s">
        <v>229</v>
      </c>
      <c r="L297" s="348" t="s">
        <v>228</v>
      </c>
      <c r="M297" s="347" t="s">
        <v>225</v>
      </c>
      <c r="N297" s="333"/>
      <c r="O297" s="969" t="s">
        <v>580</v>
      </c>
      <c r="P297" s="409">
        <f>M300</f>
        <v>18</v>
      </c>
    </row>
    <row r="298" spans="1:15" ht="15">
      <c r="A298" s="385"/>
      <c r="B298" s="349"/>
      <c r="C298" s="383"/>
      <c r="D298" s="325"/>
      <c r="E298" s="350"/>
      <c r="F298" s="383"/>
      <c r="G298" s="325"/>
      <c r="H298" s="350"/>
      <c r="I298" s="346"/>
      <c r="J298" s="347">
        <v>6</v>
      </c>
      <c r="K298" s="347">
        <v>3</v>
      </c>
      <c r="L298" s="348">
        <v>1</v>
      </c>
      <c r="M298" s="347">
        <f>J298*K298*L298</f>
        <v>18</v>
      </c>
      <c r="N298" s="334" t="str">
        <f>N300</f>
        <v>M2</v>
      </c>
      <c r="O298" s="970"/>
    </row>
    <row r="299" spans="1:15" ht="15">
      <c r="A299" s="385"/>
      <c r="B299" s="349"/>
      <c r="C299" s="383"/>
      <c r="D299" s="325"/>
      <c r="E299" s="350"/>
      <c r="F299" s="383"/>
      <c r="G299" s="325"/>
      <c r="H299" s="350"/>
      <c r="I299" s="346"/>
      <c r="J299" s="347"/>
      <c r="K299" s="347"/>
      <c r="L299" s="348"/>
      <c r="M299" s="347"/>
      <c r="N299" s="334"/>
      <c r="O299" s="970"/>
    </row>
    <row r="300" spans="1:15" ht="15">
      <c r="A300" s="386"/>
      <c r="B300" s="316"/>
      <c r="C300" s="317"/>
      <c r="D300" s="318"/>
      <c r="E300" s="319"/>
      <c r="F300" s="317"/>
      <c r="G300" s="318"/>
      <c r="H300" s="319"/>
      <c r="I300" s="320"/>
      <c r="J300" s="321"/>
      <c r="K300" s="322"/>
      <c r="L300" s="323"/>
      <c r="M300" s="324">
        <f>M298</f>
        <v>18</v>
      </c>
      <c r="N300" s="330" t="str">
        <f>ORÇ!E124</f>
        <v>M2</v>
      </c>
      <c r="O300" s="970"/>
    </row>
    <row r="301" spans="1:16" ht="36">
      <c r="A301" s="385" t="str">
        <f>ORÇ!C125</f>
        <v>8.1.2</v>
      </c>
      <c r="B301" s="315" t="str">
        <f>VLOOKUP(A301,ORÇ!$C$1:$I$158,2,0)</f>
        <v>Aluguel de container p/ escritório com ar condicionado, isolamento term/acust., 2 luminárias,
janela de vidro, tomadas computador e telefone</v>
      </c>
      <c r="C301" s="964"/>
      <c r="D301" s="965"/>
      <c r="E301" s="966"/>
      <c r="F301" s="964"/>
      <c r="G301" s="965"/>
      <c r="H301" s="966"/>
      <c r="I301" s="346"/>
      <c r="J301" s="326"/>
      <c r="K301" s="347"/>
      <c r="L301" s="348"/>
      <c r="M301" s="347" t="s">
        <v>225</v>
      </c>
      <c r="N301" s="333"/>
      <c r="O301" s="978" t="s">
        <v>213</v>
      </c>
      <c r="P301" s="409">
        <f>M304</f>
        <v>4</v>
      </c>
    </row>
    <row r="302" spans="1:15" ht="15">
      <c r="A302" s="385"/>
      <c r="B302" s="349"/>
      <c r="C302" s="383"/>
      <c r="D302" s="325"/>
      <c r="E302" s="350"/>
      <c r="F302" s="383"/>
      <c r="G302" s="325"/>
      <c r="H302" s="350"/>
      <c r="I302" s="346"/>
      <c r="J302" s="347"/>
      <c r="K302" s="347"/>
      <c r="L302" s="348"/>
      <c r="M302" s="347"/>
      <c r="N302" s="334"/>
      <c r="O302" s="978"/>
    </row>
    <row r="303" spans="1:15" ht="15">
      <c r="A303" s="385"/>
      <c r="B303" s="349"/>
      <c r="C303" s="383"/>
      <c r="D303" s="325"/>
      <c r="E303" s="350"/>
      <c r="F303" s="383"/>
      <c r="G303" s="325"/>
      <c r="H303" s="350"/>
      <c r="I303" s="346"/>
      <c r="J303" s="347"/>
      <c r="K303" s="347"/>
      <c r="L303" s="348"/>
      <c r="M303" s="347"/>
      <c r="N303" s="334"/>
      <c r="O303" s="978"/>
    </row>
    <row r="304" spans="1:16" ht="15">
      <c r="A304" s="386"/>
      <c r="B304" s="316"/>
      <c r="C304" s="317"/>
      <c r="D304" s="318"/>
      <c r="E304" s="319"/>
      <c r="F304" s="317"/>
      <c r="G304" s="318"/>
      <c r="H304" s="319"/>
      <c r="I304" s="320"/>
      <c r="J304" s="321"/>
      <c r="K304" s="322"/>
      <c r="L304" s="323"/>
      <c r="M304" s="324">
        <f>ORÇ!$C$5</f>
        <v>4</v>
      </c>
      <c r="N304" s="330" t="str">
        <f>ORÇ!E125</f>
        <v>Mes</v>
      </c>
      <c r="O304" s="978"/>
      <c r="P304" s="409"/>
    </row>
    <row r="305" spans="1:16" ht="15">
      <c r="A305" s="385" t="str">
        <f>ORÇ!C126</f>
        <v>8.1.3</v>
      </c>
      <c r="B305" s="315" t="str">
        <f>VLOOKUP(A305,ORÇ!$C$1:$I$158,2,0)</f>
        <v>Aluguel de container para almoxarifado</v>
      </c>
      <c r="C305" s="964"/>
      <c r="D305" s="965"/>
      <c r="E305" s="966"/>
      <c r="F305" s="964"/>
      <c r="G305" s="965"/>
      <c r="H305" s="966"/>
      <c r="I305" s="346"/>
      <c r="J305" s="326"/>
      <c r="K305" s="347"/>
      <c r="L305" s="348"/>
      <c r="M305" s="347" t="s">
        <v>225</v>
      </c>
      <c r="N305" s="333"/>
      <c r="O305" s="978"/>
      <c r="P305" s="409">
        <f>M308</f>
        <v>4</v>
      </c>
    </row>
    <row r="306" spans="1:15" ht="15">
      <c r="A306" s="385"/>
      <c r="B306" s="349"/>
      <c r="C306" s="383"/>
      <c r="D306" s="325"/>
      <c r="E306" s="350"/>
      <c r="F306" s="383"/>
      <c r="G306" s="325"/>
      <c r="H306" s="350"/>
      <c r="I306" s="346"/>
      <c r="J306" s="347"/>
      <c r="K306" s="347"/>
      <c r="L306" s="348"/>
      <c r="M306" s="347"/>
      <c r="N306" s="334"/>
      <c r="O306" s="978"/>
    </row>
    <row r="307" spans="1:15" ht="15">
      <c r="A307" s="385"/>
      <c r="B307" s="349"/>
      <c r="C307" s="383"/>
      <c r="D307" s="325"/>
      <c r="E307" s="350"/>
      <c r="F307" s="383"/>
      <c r="G307" s="325"/>
      <c r="H307" s="350"/>
      <c r="I307" s="346"/>
      <c r="J307" s="347"/>
      <c r="K307" s="347"/>
      <c r="L307" s="348"/>
      <c r="M307" s="347"/>
      <c r="N307" s="334"/>
      <c r="O307" s="978"/>
    </row>
    <row r="308" spans="1:15" ht="15">
      <c r="A308" s="386"/>
      <c r="B308" s="316"/>
      <c r="C308" s="317"/>
      <c r="D308" s="318"/>
      <c r="E308" s="319"/>
      <c r="F308" s="317"/>
      <c r="G308" s="318"/>
      <c r="H308" s="319"/>
      <c r="I308" s="320"/>
      <c r="J308" s="321"/>
      <c r="K308" s="322"/>
      <c r="L308" s="323"/>
      <c r="M308" s="324">
        <f>ORÇ!$C$5</f>
        <v>4</v>
      </c>
      <c r="N308" s="330" t="str">
        <f>ORÇ!E126</f>
        <v>Mes</v>
      </c>
      <c r="O308" s="978"/>
    </row>
    <row r="309" spans="1:16" ht="36">
      <c r="A309" s="385" t="str">
        <f>ORÇ!C127</f>
        <v>8.1.4</v>
      </c>
      <c r="B309" s="315" t="str">
        <f>VLOOKUP(A309,ORÇ!$C$1:$I$158,2,0)</f>
        <v>Aluguel de container tipo refeitório simples, c/ 1 aparelho de ar condicionado, 2 luminárias e 2
janelas de vidro</v>
      </c>
      <c r="C309" s="964"/>
      <c r="D309" s="965"/>
      <c r="E309" s="966"/>
      <c r="F309" s="964"/>
      <c r="G309" s="965"/>
      <c r="H309" s="966"/>
      <c r="I309" s="346"/>
      <c r="J309" s="326"/>
      <c r="K309" s="347"/>
      <c r="L309" s="348"/>
      <c r="M309" s="347" t="s">
        <v>225</v>
      </c>
      <c r="N309" s="333"/>
      <c r="O309" s="962" t="s">
        <v>213</v>
      </c>
      <c r="P309" s="409">
        <f>M312</f>
        <v>4</v>
      </c>
    </row>
    <row r="310" spans="1:15" ht="15">
      <c r="A310" s="385"/>
      <c r="B310" s="349"/>
      <c r="C310" s="383"/>
      <c r="D310" s="325"/>
      <c r="E310" s="350"/>
      <c r="F310" s="383"/>
      <c r="G310" s="325"/>
      <c r="H310" s="350"/>
      <c r="I310" s="346"/>
      <c r="J310" s="347"/>
      <c r="K310" s="347"/>
      <c r="L310" s="348"/>
      <c r="M310" s="347"/>
      <c r="N310" s="334"/>
      <c r="O310" s="962"/>
    </row>
    <row r="311" spans="1:15" ht="15">
      <c r="A311" s="385"/>
      <c r="B311" s="349"/>
      <c r="C311" s="383"/>
      <c r="D311" s="325"/>
      <c r="E311" s="350"/>
      <c r="F311" s="383"/>
      <c r="G311" s="325"/>
      <c r="H311" s="350"/>
      <c r="I311" s="346"/>
      <c r="J311" s="347"/>
      <c r="K311" s="347"/>
      <c r="L311" s="348"/>
      <c r="M311" s="347"/>
      <c r="N311" s="334"/>
      <c r="O311" s="962"/>
    </row>
    <row r="312" spans="1:15" ht="15">
      <c r="A312" s="386"/>
      <c r="B312" s="316"/>
      <c r="C312" s="317"/>
      <c r="D312" s="318"/>
      <c r="E312" s="319"/>
      <c r="F312" s="317"/>
      <c r="G312" s="318"/>
      <c r="H312" s="319"/>
      <c r="I312" s="320"/>
      <c r="J312" s="321"/>
      <c r="K312" s="322"/>
      <c r="L312" s="323"/>
      <c r="M312" s="324">
        <f>ORÇ!$C$5</f>
        <v>4</v>
      </c>
      <c r="N312" s="330" t="str">
        <f>ORÇ!E127</f>
        <v>Mes</v>
      </c>
      <c r="O312" s="962"/>
    </row>
    <row r="313" spans="1:16" ht="36">
      <c r="A313" s="385" t="str">
        <f>ORÇ!C128</f>
        <v>8.1.5</v>
      </c>
      <c r="B313" s="315" t="str">
        <f>VLOOKUP(A313,ORÇ!$C$1:$I$158,2,0)</f>
        <v>Aluguel de container tipo sanitário com 3 vasos sanitários, lavatório, mictório, 5 chuveiros, 2
venezianas e piso especial</v>
      </c>
      <c r="C313" s="964"/>
      <c r="D313" s="965"/>
      <c r="E313" s="966"/>
      <c r="F313" s="964"/>
      <c r="G313" s="965"/>
      <c r="H313" s="966"/>
      <c r="I313" s="346"/>
      <c r="J313" s="326"/>
      <c r="K313" s="347"/>
      <c r="L313" s="348"/>
      <c r="M313" s="347" t="s">
        <v>225</v>
      </c>
      <c r="N313" s="333"/>
      <c r="O313" s="962"/>
      <c r="P313" s="409">
        <f>M316</f>
        <v>4</v>
      </c>
    </row>
    <row r="314" spans="1:15" ht="15">
      <c r="A314" s="385"/>
      <c r="B314" s="349"/>
      <c r="C314" s="383"/>
      <c r="D314" s="325"/>
      <c r="E314" s="350"/>
      <c r="F314" s="383"/>
      <c r="G314" s="325"/>
      <c r="H314" s="350"/>
      <c r="I314" s="346"/>
      <c r="J314" s="347"/>
      <c r="K314" s="347"/>
      <c r="L314" s="348"/>
      <c r="M314" s="347"/>
      <c r="N314" s="334"/>
      <c r="O314" s="962"/>
    </row>
    <row r="315" spans="1:15" ht="15">
      <c r="A315" s="385"/>
      <c r="B315" s="349"/>
      <c r="C315" s="383"/>
      <c r="D315" s="325"/>
      <c r="E315" s="350"/>
      <c r="F315" s="383"/>
      <c r="G315" s="325"/>
      <c r="H315" s="350"/>
      <c r="I315" s="346"/>
      <c r="J315" s="347"/>
      <c r="K315" s="347"/>
      <c r="L315" s="348"/>
      <c r="M315" s="347"/>
      <c r="N315" s="334"/>
      <c r="O315" s="962"/>
    </row>
    <row r="316" spans="1:15" ht="15">
      <c r="A316" s="386"/>
      <c r="B316" s="316"/>
      <c r="C316" s="317"/>
      <c r="D316" s="318"/>
      <c r="E316" s="319"/>
      <c r="F316" s="317"/>
      <c r="G316" s="318"/>
      <c r="H316" s="319"/>
      <c r="I316" s="320"/>
      <c r="J316" s="321"/>
      <c r="K316" s="322"/>
      <c r="L316" s="323"/>
      <c r="M316" s="324">
        <f>ORÇ!$C$5</f>
        <v>4</v>
      </c>
      <c r="N316" s="330" t="str">
        <f>ORÇ!E128</f>
        <v>Mes</v>
      </c>
      <c r="O316" s="963"/>
    </row>
    <row r="317" spans="1:16" ht="36">
      <c r="A317" s="385" t="str">
        <f>ORÇ!C129</f>
        <v>8.1.6</v>
      </c>
      <c r="B317" s="315" t="str">
        <f>VLOOKUP(A317,ORÇ!$C$1:$I$158,2,0)</f>
        <v>Rede de água c/ padrão de entrada d'água diâm. 3/4" conf. CESAN, incl. tubos e conexões p/
aliment., distrib., extravas. e limp., cons. o padrão a 25m</v>
      </c>
      <c r="C317" s="964"/>
      <c r="D317" s="965"/>
      <c r="E317" s="966"/>
      <c r="F317" s="964"/>
      <c r="G317" s="965"/>
      <c r="H317" s="966"/>
      <c r="I317" s="346"/>
      <c r="J317" s="326"/>
      <c r="K317" s="347"/>
      <c r="L317" s="348"/>
      <c r="M317" s="347" t="s">
        <v>225</v>
      </c>
      <c r="N317" s="333"/>
      <c r="O317" s="961" t="s">
        <v>214</v>
      </c>
      <c r="P317" s="409">
        <f>M320</f>
        <v>25</v>
      </c>
    </row>
    <row r="318" spans="1:15" ht="15">
      <c r="A318" s="385"/>
      <c r="B318" s="349"/>
      <c r="C318" s="383"/>
      <c r="D318" s="325"/>
      <c r="E318" s="350"/>
      <c r="F318" s="383"/>
      <c r="G318" s="325"/>
      <c r="H318" s="350"/>
      <c r="I318" s="346"/>
      <c r="J318" s="347"/>
      <c r="K318" s="347"/>
      <c r="L318" s="348"/>
      <c r="M318" s="347"/>
      <c r="N318" s="334"/>
      <c r="O318" s="962"/>
    </row>
    <row r="319" spans="1:15" ht="15">
      <c r="A319" s="385"/>
      <c r="B319" s="349"/>
      <c r="C319" s="383"/>
      <c r="D319" s="325"/>
      <c r="E319" s="350"/>
      <c r="F319" s="383"/>
      <c r="G319" s="325"/>
      <c r="H319" s="350"/>
      <c r="I319" s="346"/>
      <c r="J319" s="347"/>
      <c r="K319" s="347"/>
      <c r="L319" s="348"/>
      <c r="M319" s="347"/>
      <c r="N319" s="334"/>
      <c r="O319" s="962"/>
    </row>
    <row r="320" spans="1:15" ht="15">
      <c r="A320" s="386"/>
      <c r="B320" s="316"/>
      <c r="C320" s="317"/>
      <c r="D320" s="318"/>
      <c r="E320" s="319"/>
      <c r="F320" s="317"/>
      <c r="G320" s="318"/>
      <c r="H320" s="319"/>
      <c r="I320" s="320"/>
      <c r="J320" s="321"/>
      <c r="K320" s="322"/>
      <c r="L320" s="323"/>
      <c r="M320" s="324">
        <v>25</v>
      </c>
      <c r="N320" s="330" t="str">
        <f>ORÇ!E129</f>
        <v>M</v>
      </c>
      <c r="O320" s="968"/>
    </row>
    <row r="321" spans="1:16" ht="36">
      <c r="A321" s="385" t="str">
        <f>ORÇ!C130</f>
        <v>8.1.7</v>
      </c>
      <c r="B321" s="315" t="str">
        <f>VLOOKUP(A321,ORÇ!$C$1:$I$158,2,0)</f>
        <v>Rede de esgoto, contendo fossa e filtro, incl. tubos e conexões de ligação entre caixas,
considerando distância de 25m</v>
      </c>
      <c r="C321" s="964"/>
      <c r="D321" s="965"/>
      <c r="E321" s="966"/>
      <c r="F321" s="964"/>
      <c r="G321" s="965"/>
      <c r="H321" s="966"/>
      <c r="I321" s="346"/>
      <c r="J321" s="326"/>
      <c r="K321" s="347"/>
      <c r="L321" s="348"/>
      <c r="M321" s="347" t="s">
        <v>225</v>
      </c>
      <c r="N321" s="333"/>
      <c r="O321" s="962" t="s">
        <v>214</v>
      </c>
      <c r="P321" s="409">
        <f>M324</f>
        <v>25</v>
      </c>
    </row>
    <row r="322" spans="1:15" ht="15">
      <c r="A322" s="385"/>
      <c r="B322" s="349"/>
      <c r="C322" s="383"/>
      <c r="D322" s="325"/>
      <c r="E322" s="350"/>
      <c r="F322" s="383"/>
      <c r="G322" s="325"/>
      <c r="H322" s="350"/>
      <c r="I322" s="346"/>
      <c r="J322" s="347"/>
      <c r="K322" s="347"/>
      <c r="L322" s="348"/>
      <c r="M322" s="347"/>
      <c r="N322" s="334"/>
      <c r="O322" s="962"/>
    </row>
    <row r="323" spans="1:15" ht="15">
      <c r="A323" s="385"/>
      <c r="B323" s="349"/>
      <c r="C323" s="383"/>
      <c r="D323" s="325"/>
      <c r="E323" s="350"/>
      <c r="F323" s="383"/>
      <c r="G323" s="325"/>
      <c r="H323" s="350"/>
      <c r="I323" s="346"/>
      <c r="J323" s="347"/>
      <c r="K323" s="347"/>
      <c r="L323" s="348"/>
      <c r="M323" s="347"/>
      <c r="N323" s="334"/>
      <c r="O323" s="962"/>
    </row>
    <row r="324" spans="1:15" ht="15">
      <c r="A324" s="386"/>
      <c r="B324" s="316"/>
      <c r="C324" s="317"/>
      <c r="D324" s="318"/>
      <c r="E324" s="319"/>
      <c r="F324" s="317"/>
      <c r="G324" s="318"/>
      <c r="H324" s="319"/>
      <c r="I324" s="320"/>
      <c r="J324" s="321"/>
      <c r="K324" s="322"/>
      <c r="L324" s="323"/>
      <c r="M324" s="324">
        <v>25</v>
      </c>
      <c r="N324" s="330" t="str">
        <f>ORÇ!E130</f>
        <v>M</v>
      </c>
      <c r="O324" s="962"/>
    </row>
    <row r="325" spans="1:16" ht="36">
      <c r="A325" s="385" t="str">
        <f>ORÇ!C131</f>
        <v>8.1.8</v>
      </c>
      <c r="B325" s="315" t="str">
        <f>VLOOKUP(A325,ORÇ!$C$1:$I$158,2,0)</f>
        <v>Rede de luz, incl. padrão entr. energia trifás. cabo ligação até barracões, quadro distrib., disj. e
chave de força, cons. 20m entre padrão entr.e QDG</v>
      </c>
      <c r="C325" s="964"/>
      <c r="D325" s="965"/>
      <c r="E325" s="966"/>
      <c r="F325" s="964"/>
      <c r="G325" s="965"/>
      <c r="H325" s="966"/>
      <c r="I325" s="346"/>
      <c r="J325" s="326"/>
      <c r="K325" s="347"/>
      <c r="L325" s="348"/>
      <c r="M325" s="347" t="s">
        <v>225</v>
      </c>
      <c r="N325" s="333"/>
      <c r="O325" s="962"/>
      <c r="P325" s="409">
        <f>M328</f>
        <v>20</v>
      </c>
    </row>
    <row r="326" spans="1:15" ht="15">
      <c r="A326" s="385"/>
      <c r="B326" s="349"/>
      <c r="C326" s="383"/>
      <c r="D326" s="325"/>
      <c r="E326" s="350"/>
      <c r="F326" s="383"/>
      <c r="G326" s="325"/>
      <c r="H326" s="350"/>
      <c r="I326" s="346"/>
      <c r="J326" s="347"/>
      <c r="K326" s="347"/>
      <c r="L326" s="348"/>
      <c r="M326" s="347"/>
      <c r="N326" s="334"/>
      <c r="O326" s="962"/>
    </row>
    <row r="327" spans="1:15" ht="15">
      <c r="A327" s="385"/>
      <c r="B327" s="349"/>
      <c r="C327" s="383"/>
      <c r="D327" s="325"/>
      <c r="E327" s="350"/>
      <c r="F327" s="383"/>
      <c r="G327" s="325"/>
      <c r="H327" s="350"/>
      <c r="I327" s="346"/>
      <c r="J327" s="347"/>
      <c r="K327" s="347"/>
      <c r="L327" s="348"/>
      <c r="M327" s="347"/>
      <c r="N327" s="334"/>
      <c r="O327" s="962"/>
    </row>
    <row r="328" spans="1:15" ht="15">
      <c r="A328" s="386"/>
      <c r="B328" s="316"/>
      <c r="C328" s="317"/>
      <c r="D328" s="318"/>
      <c r="E328" s="319"/>
      <c r="F328" s="317"/>
      <c r="G328" s="318"/>
      <c r="H328" s="319"/>
      <c r="I328" s="320"/>
      <c r="J328" s="321"/>
      <c r="K328" s="322"/>
      <c r="L328" s="323"/>
      <c r="M328" s="324">
        <v>20</v>
      </c>
      <c r="N328" s="330" t="str">
        <f>ORÇ!E131</f>
        <v>M</v>
      </c>
      <c r="O328" s="962"/>
    </row>
    <row r="329" spans="1:16" ht="24">
      <c r="A329" s="385" t="str">
        <f>ORÇ!C132</f>
        <v>8.1.9</v>
      </c>
      <c r="B329" s="315" t="str">
        <f>VLOOKUP(A329,ORÇ!$C$1:$I$158,2,0)</f>
        <v>Reservatório de fibra de vidro de 1000 L, incl. suporte em madeira de 7x12cm, elevado de 4m</v>
      </c>
      <c r="C329" s="964"/>
      <c r="D329" s="965"/>
      <c r="E329" s="966"/>
      <c r="F329" s="964"/>
      <c r="G329" s="965"/>
      <c r="H329" s="966"/>
      <c r="I329" s="346"/>
      <c r="J329" s="326"/>
      <c r="K329" s="347"/>
      <c r="L329" s="348"/>
      <c r="M329" s="347"/>
      <c r="N329" s="333"/>
      <c r="O329" s="962"/>
      <c r="P329" s="409">
        <f>M332</f>
        <v>3</v>
      </c>
    </row>
    <row r="330" spans="1:15" ht="15">
      <c r="A330" s="385"/>
      <c r="B330" s="349"/>
      <c r="C330" s="383"/>
      <c r="D330" s="325"/>
      <c r="E330" s="350"/>
      <c r="F330" s="383"/>
      <c r="G330" s="325"/>
      <c r="H330" s="350"/>
      <c r="I330" s="346"/>
      <c r="J330" s="347"/>
      <c r="K330" s="347"/>
      <c r="L330" s="348"/>
      <c r="M330" s="347"/>
      <c r="N330" s="334"/>
      <c r="O330" s="962"/>
    </row>
    <row r="331" spans="1:15" ht="15">
      <c r="A331" s="385"/>
      <c r="B331" s="349"/>
      <c r="C331" s="383"/>
      <c r="D331" s="325"/>
      <c r="E331" s="350"/>
      <c r="F331" s="383"/>
      <c r="G331" s="325"/>
      <c r="H331" s="350"/>
      <c r="I331" s="346"/>
      <c r="J331" s="347"/>
      <c r="K331" s="347"/>
      <c r="L331" s="348"/>
      <c r="M331" s="347"/>
      <c r="N331" s="334"/>
      <c r="O331" s="962"/>
    </row>
    <row r="332" spans="1:15" ht="15">
      <c r="A332" s="386"/>
      <c r="B332" s="316"/>
      <c r="C332" s="317"/>
      <c r="D332" s="318"/>
      <c r="E332" s="319"/>
      <c r="F332" s="317"/>
      <c r="G332" s="318"/>
      <c r="H332" s="319"/>
      <c r="I332" s="320"/>
      <c r="J332" s="321"/>
      <c r="K332" s="322"/>
      <c r="L332" s="323"/>
      <c r="M332" s="324">
        <v>3</v>
      </c>
      <c r="N332" s="330" t="str">
        <f>ORÇ!E132</f>
        <v>Ud</v>
      </c>
      <c r="O332" s="963"/>
    </row>
    <row r="333" spans="1:16" ht="48">
      <c r="A333" s="385" t="str">
        <f>ORÇ!C133</f>
        <v>8.1.10</v>
      </c>
      <c r="B333" s="315" t="str">
        <f>VLOOKUP(A333,ORÇ!$C$1:$I$158,2,0)</f>
        <v>Tapume Telha Metálica Ondulada 0,50mm Branca h=2,20m, incl. montagem estr. mad. 8"x8",
incl. faixas pint. esmalte sintético c/ h=40cm (Reaproveitamento 2x)</v>
      </c>
      <c r="C333" s="964"/>
      <c r="D333" s="965"/>
      <c r="E333" s="966"/>
      <c r="F333" s="964"/>
      <c r="G333" s="965"/>
      <c r="H333" s="966"/>
      <c r="I333" s="346"/>
      <c r="J333" s="326" t="s">
        <v>223</v>
      </c>
      <c r="K333" s="347" t="s">
        <v>224</v>
      </c>
      <c r="L333" s="348"/>
      <c r="M333" s="347" t="s">
        <v>227</v>
      </c>
      <c r="N333" s="333"/>
      <c r="O333" s="961" t="s">
        <v>215</v>
      </c>
      <c r="P333" s="409">
        <f>M336</f>
        <v>140</v>
      </c>
    </row>
    <row r="334" spans="1:15" ht="15">
      <c r="A334" s="385"/>
      <c r="B334" s="349"/>
      <c r="C334" s="383"/>
      <c r="D334" s="325"/>
      <c r="E334" s="350"/>
      <c r="F334" s="383"/>
      <c r="G334" s="325"/>
      <c r="H334" s="350"/>
      <c r="I334" s="346"/>
      <c r="J334" s="347">
        <v>30</v>
      </c>
      <c r="K334" s="347">
        <v>40</v>
      </c>
      <c r="L334" s="348"/>
      <c r="M334" s="347">
        <f>J334+J334+K334+K334</f>
        <v>140</v>
      </c>
      <c r="N334" s="334" t="str">
        <f>N336</f>
        <v>M</v>
      </c>
      <c r="O334" s="962"/>
    </row>
    <row r="335" spans="1:15" ht="15">
      <c r="A335" s="385"/>
      <c r="B335" s="349"/>
      <c r="C335" s="383"/>
      <c r="D335" s="325"/>
      <c r="E335" s="350"/>
      <c r="F335" s="383"/>
      <c r="G335" s="325"/>
      <c r="H335" s="350"/>
      <c r="I335" s="346"/>
      <c r="J335" s="347"/>
      <c r="K335" s="347"/>
      <c r="L335" s="348"/>
      <c r="M335" s="347"/>
      <c r="N335" s="334"/>
      <c r="O335" s="962"/>
    </row>
    <row r="336" spans="1:15" ht="15">
      <c r="A336" s="386"/>
      <c r="B336" s="316"/>
      <c r="C336" s="317"/>
      <c r="D336" s="318"/>
      <c r="E336" s="319"/>
      <c r="F336" s="317"/>
      <c r="G336" s="318"/>
      <c r="H336" s="319"/>
      <c r="I336" s="320"/>
      <c r="J336" s="321"/>
      <c r="K336" s="322"/>
      <c r="L336" s="323"/>
      <c r="M336" s="324">
        <f>M334</f>
        <v>140</v>
      </c>
      <c r="N336" s="330" t="str">
        <f>ORÇ!E133</f>
        <v>M</v>
      </c>
      <c r="O336" s="963"/>
    </row>
    <row r="337" spans="1:16" ht="24">
      <c r="A337" s="385" t="str">
        <f>ORÇ!C134</f>
        <v>8.1.11</v>
      </c>
      <c r="B337" s="315" t="str">
        <f>VLOOKUP(A337,ORÇ!$C$1:$I$158,2,0)</f>
        <v>Mobilização e desmobilização de caminhão basculante (máximo)</v>
      </c>
      <c r="C337" s="964"/>
      <c r="D337" s="965"/>
      <c r="E337" s="966"/>
      <c r="F337" s="964"/>
      <c r="G337" s="965"/>
      <c r="H337" s="966"/>
      <c r="I337" s="346"/>
      <c r="J337" s="326"/>
      <c r="K337" s="347"/>
      <c r="L337" s="348"/>
      <c r="M337" s="347"/>
      <c r="N337" s="333"/>
      <c r="O337" s="961" t="s">
        <v>216</v>
      </c>
      <c r="P337" s="409">
        <f>M340</f>
        <v>20</v>
      </c>
    </row>
    <row r="338" spans="1:15" ht="15">
      <c r="A338" s="385"/>
      <c r="B338" s="349"/>
      <c r="C338" s="383"/>
      <c r="D338" s="325"/>
      <c r="E338" s="350"/>
      <c r="F338" s="383"/>
      <c r="G338" s="325"/>
      <c r="H338" s="350"/>
      <c r="I338" s="346"/>
      <c r="J338" s="347"/>
      <c r="K338" s="347"/>
      <c r="L338" s="348"/>
      <c r="M338" s="347"/>
      <c r="N338" s="334"/>
      <c r="O338" s="962"/>
    </row>
    <row r="339" spans="1:15" ht="15">
      <c r="A339" s="385"/>
      <c r="B339" s="349"/>
      <c r="C339" s="383"/>
      <c r="D339" s="325"/>
      <c r="E339" s="350"/>
      <c r="F339" s="383"/>
      <c r="G339" s="325"/>
      <c r="H339" s="350"/>
      <c r="I339" s="346"/>
      <c r="J339" s="347"/>
      <c r="K339" s="347"/>
      <c r="L339" s="348"/>
      <c r="M339" s="347"/>
      <c r="N339" s="334"/>
      <c r="O339" s="962"/>
    </row>
    <row r="340" spans="1:15" ht="15">
      <c r="A340" s="386"/>
      <c r="B340" s="316"/>
      <c r="C340" s="317"/>
      <c r="D340" s="318"/>
      <c r="E340" s="319"/>
      <c r="F340" s="317"/>
      <c r="G340" s="318"/>
      <c r="H340" s="319"/>
      <c r="I340" s="320"/>
      <c r="J340" s="321"/>
      <c r="K340" s="322"/>
      <c r="L340" s="323"/>
      <c r="M340" s="324">
        <v>20</v>
      </c>
      <c r="N340" s="330" t="str">
        <f>ORÇ!E134</f>
        <v>h</v>
      </c>
      <c r="O340" s="962"/>
    </row>
    <row r="341" spans="1:16" ht="24">
      <c r="A341" s="385" t="str">
        <f>ORÇ!C135</f>
        <v>8.1.12</v>
      </c>
      <c r="B341" s="315" t="str">
        <f>VLOOKUP(A341,ORÇ!$C$1:$I$158,2,0)</f>
        <v>Mobilização e desmobilização de caminhão carroceria (máximo)</v>
      </c>
      <c r="C341" s="964"/>
      <c r="D341" s="965"/>
      <c r="E341" s="966"/>
      <c r="F341" s="964"/>
      <c r="G341" s="965"/>
      <c r="H341" s="966"/>
      <c r="I341" s="346"/>
      <c r="J341" s="326"/>
      <c r="K341" s="347"/>
      <c r="L341" s="348"/>
      <c r="M341" s="347"/>
      <c r="N341" s="333"/>
      <c r="O341" s="962"/>
      <c r="P341" s="409">
        <f>M344</f>
        <v>12</v>
      </c>
    </row>
    <row r="342" spans="1:15" ht="15">
      <c r="A342" s="385"/>
      <c r="B342" s="349"/>
      <c r="C342" s="383"/>
      <c r="D342" s="325"/>
      <c r="E342" s="350"/>
      <c r="F342" s="383"/>
      <c r="G342" s="325"/>
      <c r="H342" s="350"/>
      <c r="I342" s="346"/>
      <c r="J342" s="347"/>
      <c r="K342" s="347"/>
      <c r="L342" s="348"/>
      <c r="M342" s="347"/>
      <c r="N342" s="334"/>
      <c r="O342" s="962"/>
    </row>
    <row r="343" spans="1:15" ht="15">
      <c r="A343" s="385"/>
      <c r="B343" s="349"/>
      <c r="C343" s="383"/>
      <c r="D343" s="325"/>
      <c r="E343" s="350"/>
      <c r="F343" s="383"/>
      <c r="G343" s="325"/>
      <c r="H343" s="350"/>
      <c r="I343" s="346"/>
      <c r="J343" s="347"/>
      <c r="K343" s="347"/>
      <c r="L343" s="348"/>
      <c r="M343" s="347"/>
      <c r="N343" s="334"/>
      <c r="O343" s="962"/>
    </row>
    <row r="344" spans="1:15" ht="15">
      <c r="A344" s="386"/>
      <c r="B344" s="316"/>
      <c r="C344" s="317"/>
      <c r="D344" s="318"/>
      <c r="E344" s="319"/>
      <c r="F344" s="317"/>
      <c r="G344" s="318"/>
      <c r="H344" s="319"/>
      <c r="I344" s="320"/>
      <c r="J344" s="321"/>
      <c r="K344" s="322"/>
      <c r="L344" s="323"/>
      <c r="M344" s="324">
        <v>12</v>
      </c>
      <c r="N344" s="330" t="str">
        <f>ORÇ!E135</f>
        <v>h</v>
      </c>
      <c r="O344" s="968"/>
    </row>
    <row r="345" spans="1:16" ht="24">
      <c r="A345" s="385" t="str">
        <f>ORÇ!C136</f>
        <v>8.1.13</v>
      </c>
      <c r="B345" s="315" t="str">
        <f>VLOOKUP(A345,ORÇ!$C$1:$I$158,2,0)</f>
        <v>Mobilização e desmobilização de caminhão tanque (6.000 L) (máximo)</v>
      </c>
      <c r="C345" s="964"/>
      <c r="D345" s="965"/>
      <c r="E345" s="966"/>
      <c r="F345" s="964"/>
      <c r="G345" s="965"/>
      <c r="H345" s="966"/>
      <c r="I345" s="346"/>
      <c r="J345" s="326"/>
      <c r="K345" s="347"/>
      <c r="L345" s="348"/>
      <c r="M345" s="347"/>
      <c r="N345" s="333"/>
      <c r="O345" s="962" t="s">
        <v>216</v>
      </c>
      <c r="P345" s="409">
        <f>M348</f>
        <v>12</v>
      </c>
    </row>
    <row r="346" spans="1:15" ht="15">
      <c r="A346" s="385"/>
      <c r="B346" s="349"/>
      <c r="C346" s="383"/>
      <c r="D346" s="325"/>
      <c r="E346" s="350"/>
      <c r="F346" s="383"/>
      <c r="G346" s="325"/>
      <c r="H346" s="350"/>
      <c r="I346" s="346"/>
      <c r="J346" s="347"/>
      <c r="K346" s="347"/>
      <c r="L346" s="348"/>
      <c r="M346" s="347"/>
      <c r="N346" s="334"/>
      <c r="O346" s="962"/>
    </row>
    <row r="347" spans="1:15" ht="15">
      <c r="A347" s="385"/>
      <c r="B347" s="349"/>
      <c r="C347" s="383"/>
      <c r="D347" s="325"/>
      <c r="E347" s="350"/>
      <c r="F347" s="383"/>
      <c r="G347" s="325"/>
      <c r="H347" s="350"/>
      <c r="I347" s="346"/>
      <c r="J347" s="347"/>
      <c r="K347" s="347"/>
      <c r="L347" s="348"/>
      <c r="M347" s="347"/>
      <c r="N347" s="334"/>
      <c r="O347" s="962"/>
    </row>
    <row r="348" spans="1:15" ht="15">
      <c r="A348" s="386"/>
      <c r="B348" s="316"/>
      <c r="C348" s="317"/>
      <c r="D348" s="318"/>
      <c r="E348" s="319"/>
      <c r="F348" s="317"/>
      <c r="G348" s="318"/>
      <c r="H348" s="319"/>
      <c r="I348" s="320"/>
      <c r="J348" s="321"/>
      <c r="K348" s="322"/>
      <c r="L348" s="323"/>
      <c r="M348" s="324">
        <v>12</v>
      </c>
      <c r="N348" s="330" t="str">
        <f>ORÇ!E136</f>
        <v>h</v>
      </c>
      <c r="O348" s="962"/>
    </row>
    <row r="349" spans="1:16" ht="24">
      <c r="A349" s="385" t="str">
        <f>ORÇ!C137</f>
        <v>8.1.14</v>
      </c>
      <c r="B349" s="315" t="str">
        <f>VLOOKUP(A349,ORÇ!$C$1:$I$158,2,0)</f>
        <v>Mobilização e desmobilização de equipamentos com carreta prancha (máximo)</v>
      </c>
      <c r="C349" s="964"/>
      <c r="D349" s="965"/>
      <c r="E349" s="966"/>
      <c r="F349" s="964"/>
      <c r="G349" s="965"/>
      <c r="H349" s="966"/>
      <c r="I349" s="346"/>
      <c r="J349" s="326"/>
      <c r="K349" s="347"/>
      <c r="L349" s="348"/>
      <c r="M349" s="347"/>
      <c r="N349" s="333"/>
      <c r="O349" s="962"/>
      <c r="P349" s="409">
        <f>M352</f>
        <v>20</v>
      </c>
    </row>
    <row r="350" spans="1:15" ht="15">
      <c r="A350" s="385"/>
      <c r="B350" s="349"/>
      <c r="C350" s="383"/>
      <c r="D350" s="325"/>
      <c r="E350" s="350"/>
      <c r="F350" s="383"/>
      <c r="G350" s="325"/>
      <c r="H350" s="350"/>
      <c r="I350" s="346"/>
      <c r="J350" s="347"/>
      <c r="K350" s="347"/>
      <c r="L350" s="348"/>
      <c r="M350" s="347"/>
      <c r="N350" s="334"/>
      <c r="O350" s="962"/>
    </row>
    <row r="351" spans="1:15" ht="15">
      <c r="A351" s="385"/>
      <c r="B351" s="349"/>
      <c r="C351" s="383"/>
      <c r="D351" s="325"/>
      <c r="E351" s="350"/>
      <c r="F351" s="383"/>
      <c r="G351" s="325"/>
      <c r="H351" s="350"/>
      <c r="I351" s="346"/>
      <c r="J351" s="347"/>
      <c r="K351" s="347"/>
      <c r="L351" s="348"/>
      <c r="M351" s="347"/>
      <c r="N351" s="334"/>
      <c r="O351" s="962"/>
    </row>
    <row r="352" spans="1:15" ht="15">
      <c r="A352" s="386"/>
      <c r="B352" s="316"/>
      <c r="C352" s="317"/>
      <c r="D352" s="318"/>
      <c r="E352" s="319"/>
      <c r="F352" s="317"/>
      <c r="G352" s="318"/>
      <c r="H352" s="319"/>
      <c r="I352" s="320"/>
      <c r="J352" s="321"/>
      <c r="K352" s="322"/>
      <c r="L352" s="323"/>
      <c r="M352" s="324">
        <v>20</v>
      </c>
      <c r="N352" s="330" t="str">
        <f>ORÇ!E137</f>
        <v>h</v>
      </c>
      <c r="O352" s="962"/>
    </row>
    <row r="353" spans="1:16" ht="15">
      <c r="A353" s="385" t="str">
        <f>ORÇ!C138</f>
        <v>8.1.15</v>
      </c>
      <c r="B353" s="315" t="str">
        <f>VLOOKUP(A353,ORÇ!$C$1:$I$158,2,0)</f>
        <v>Mobilização e desmobilização de container até 50 km</v>
      </c>
      <c r="C353" s="964"/>
      <c r="D353" s="965"/>
      <c r="E353" s="966"/>
      <c r="F353" s="964"/>
      <c r="G353" s="965"/>
      <c r="H353" s="966"/>
      <c r="I353" s="346"/>
      <c r="J353" s="326"/>
      <c r="K353" s="347"/>
      <c r="L353" s="348"/>
      <c r="M353" s="347"/>
      <c r="N353" s="333"/>
      <c r="O353" s="961" t="s">
        <v>379</v>
      </c>
      <c r="P353" s="409">
        <f>M356</f>
        <v>4</v>
      </c>
    </row>
    <row r="354" spans="1:15" ht="15">
      <c r="A354" s="385"/>
      <c r="B354" s="349"/>
      <c r="C354" s="383"/>
      <c r="D354" s="325"/>
      <c r="E354" s="350"/>
      <c r="F354" s="383"/>
      <c r="G354" s="325"/>
      <c r="H354" s="350"/>
      <c r="I354" s="346"/>
      <c r="J354" s="347"/>
      <c r="K354" s="347"/>
      <c r="L354" s="348"/>
      <c r="M354" s="347"/>
      <c r="N354" s="334"/>
      <c r="O354" s="962"/>
    </row>
    <row r="355" spans="1:15" ht="15">
      <c r="A355" s="385"/>
      <c r="B355" s="349"/>
      <c r="C355" s="383"/>
      <c r="D355" s="325"/>
      <c r="E355" s="350"/>
      <c r="F355" s="383"/>
      <c r="G355" s="325"/>
      <c r="H355" s="350"/>
      <c r="I355" s="346"/>
      <c r="J355" s="347"/>
      <c r="K355" s="347"/>
      <c r="L355" s="348"/>
      <c r="M355" s="347"/>
      <c r="N355" s="334"/>
      <c r="O355" s="962"/>
    </row>
    <row r="356" spans="1:15" ht="15">
      <c r="A356" s="386"/>
      <c r="B356" s="316"/>
      <c r="C356" s="317"/>
      <c r="D356" s="318"/>
      <c r="E356" s="319"/>
      <c r="F356" s="317"/>
      <c r="G356" s="318"/>
      <c r="H356" s="319"/>
      <c r="I356" s="320"/>
      <c r="J356" s="321"/>
      <c r="K356" s="322"/>
      <c r="L356" s="323"/>
      <c r="M356" s="324">
        <v>4</v>
      </c>
      <c r="N356" s="330" t="str">
        <f>ORÇ!E138</f>
        <v>Ud</v>
      </c>
      <c r="O356" s="963"/>
    </row>
    <row r="357" spans="1:15" ht="15">
      <c r="A357" s="384" t="str">
        <f>ORÇ!C139</f>
        <v>8.2</v>
      </c>
      <c r="B357" s="327" t="str">
        <f>VLOOKUP(A357,ORÇ!$C$1:$I$158,2,0)</f>
        <v>SINALIZAÇÃO DE OBRAS</v>
      </c>
      <c r="C357" s="306"/>
      <c r="D357" s="307"/>
      <c r="E357" s="308"/>
      <c r="F357" s="306"/>
      <c r="G357" s="307"/>
      <c r="H357" s="308"/>
      <c r="I357" s="309"/>
      <c r="J357" s="310"/>
      <c r="K357" s="311"/>
      <c r="L357" s="312"/>
      <c r="M357" s="311"/>
      <c r="N357" s="306"/>
      <c r="O357" s="410"/>
    </row>
    <row r="358" spans="1:16" ht="15">
      <c r="A358" s="430" t="str">
        <f>ORÇ!C140</f>
        <v>8.2.1</v>
      </c>
      <c r="B358" s="315" t="str">
        <f>VLOOKUP(A358,ORÇ!$C$1:$I$158,2,0)</f>
        <v>Cones para sinalização, fornecimento e colocação</v>
      </c>
      <c r="C358" s="964"/>
      <c r="D358" s="965"/>
      <c r="E358" s="966"/>
      <c r="F358" s="964"/>
      <c r="G358" s="965"/>
      <c r="H358" s="966"/>
      <c r="I358" s="431"/>
      <c r="J358" s="432"/>
      <c r="K358" s="433"/>
      <c r="L358" s="434"/>
      <c r="M358" s="433"/>
      <c r="N358" s="435"/>
      <c r="O358" s="961" t="s">
        <v>217</v>
      </c>
      <c r="P358" s="409">
        <f>M361</f>
        <v>30</v>
      </c>
    </row>
    <row r="359" spans="1:15" ht="15">
      <c r="A359" s="385"/>
      <c r="B359" s="349"/>
      <c r="C359" s="414"/>
      <c r="D359" s="325"/>
      <c r="E359" s="350"/>
      <c r="F359" s="414"/>
      <c r="G359" s="325"/>
      <c r="H359" s="350"/>
      <c r="I359" s="346"/>
      <c r="J359" s="347"/>
      <c r="K359" s="347"/>
      <c r="L359" s="348"/>
      <c r="M359" s="347"/>
      <c r="N359" s="334"/>
      <c r="O359" s="962"/>
    </row>
    <row r="360" spans="1:15" ht="15">
      <c r="A360" s="385"/>
      <c r="B360" s="349"/>
      <c r="C360" s="414"/>
      <c r="D360" s="325"/>
      <c r="E360" s="350"/>
      <c r="F360" s="414"/>
      <c r="G360" s="325"/>
      <c r="H360" s="350"/>
      <c r="I360" s="346"/>
      <c r="J360" s="347"/>
      <c r="K360" s="347"/>
      <c r="L360" s="348"/>
      <c r="M360" s="347"/>
      <c r="N360" s="334"/>
      <c r="O360" s="962"/>
    </row>
    <row r="361" spans="1:15" ht="15">
      <c r="A361" s="386"/>
      <c r="B361" s="316"/>
      <c r="C361" s="317"/>
      <c r="D361" s="318"/>
      <c r="E361" s="319"/>
      <c r="F361" s="317"/>
      <c r="G361" s="318"/>
      <c r="H361" s="319"/>
      <c r="I361" s="320"/>
      <c r="J361" s="321"/>
      <c r="K361" s="322"/>
      <c r="L361" s="323"/>
      <c r="M361" s="324">
        <v>30</v>
      </c>
      <c r="N361" s="330" t="str">
        <f>ORÇ!E140</f>
        <v>Ud</v>
      </c>
      <c r="O361" s="962"/>
    </row>
    <row r="362" spans="1:16" ht="15">
      <c r="A362" s="385" t="str">
        <f>ORÇ!C141</f>
        <v>8.2.2</v>
      </c>
      <c r="B362" s="315" t="str">
        <f>VLOOKUP(A362,ORÇ!$C$1:$I$158,2,0)</f>
        <v>Elementos de madeira para sinalização - cavaletes</v>
      </c>
      <c r="C362" s="964"/>
      <c r="D362" s="965"/>
      <c r="E362" s="966"/>
      <c r="F362" s="964"/>
      <c r="G362" s="965"/>
      <c r="H362" s="966"/>
      <c r="I362" s="346"/>
      <c r="J362" s="326"/>
      <c r="K362" s="347"/>
      <c r="L362" s="348"/>
      <c r="M362" s="347"/>
      <c r="N362" s="333"/>
      <c r="O362" s="962"/>
      <c r="P362" s="409">
        <f>M365</f>
        <v>15</v>
      </c>
    </row>
    <row r="363" spans="1:15" ht="15">
      <c r="A363" s="385"/>
      <c r="B363" s="349"/>
      <c r="C363" s="414"/>
      <c r="D363" s="325"/>
      <c r="E363" s="350"/>
      <c r="F363" s="414"/>
      <c r="G363" s="325"/>
      <c r="H363" s="350"/>
      <c r="I363" s="346"/>
      <c r="J363" s="347"/>
      <c r="K363" s="347"/>
      <c r="L363" s="348"/>
      <c r="M363" s="347"/>
      <c r="N363" s="334"/>
      <c r="O363" s="962"/>
    </row>
    <row r="364" spans="1:15" ht="15">
      <c r="A364" s="385"/>
      <c r="B364" s="349"/>
      <c r="C364" s="414"/>
      <c r="D364" s="325"/>
      <c r="E364" s="350"/>
      <c r="F364" s="414"/>
      <c r="G364" s="325"/>
      <c r="H364" s="350"/>
      <c r="I364" s="346"/>
      <c r="J364" s="347"/>
      <c r="K364" s="347"/>
      <c r="L364" s="348"/>
      <c r="M364" s="347"/>
      <c r="N364" s="334"/>
      <c r="O364" s="962"/>
    </row>
    <row r="365" spans="1:15" ht="15">
      <c r="A365" s="386"/>
      <c r="B365" s="316"/>
      <c r="C365" s="317"/>
      <c r="D365" s="318"/>
      <c r="E365" s="319"/>
      <c r="F365" s="317"/>
      <c r="G365" s="318"/>
      <c r="H365" s="319"/>
      <c r="I365" s="320"/>
      <c r="J365" s="321"/>
      <c r="K365" s="322"/>
      <c r="L365" s="323"/>
      <c r="M365" s="324">
        <v>15</v>
      </c>
      <c r="N365" s="330" t="str">
        <f>ORÇ!E141</f>
        <v>Ud</v>
      </c>
      <c r="O365" s="962"/>
    </row>
    <row r="366" spans="1:16" ht="24">
      <c r="A366" s="385" t="str">
        <f>ORÇ!C142</f>
        <v>8.2.3</v>
      </c>
      <c r="B366" s="315" t="str">
        <f>VLOOKUP(A366,ORÇ!$C$1:$I$158,2,0)</f>
        <v>Tela de proteção de segurança de PVC cor laranja com suporte  para sinalização de obras</v>
      </c>
      <c r="C366" s="964"/>
      <c r="D366" s="965"/>
      <c r="E366" s="966"/>
      <c r="F366" s="964"/>
      <c r="G366" s="965"/>
      <c r="H366" s="966"/>
      <c r="I366" s="346"/>
      <c r="J366" s="326"/>
      <c r="K366" s="347"/>
      <c r="L366" s="348"/>
      <c r="M366" s="347"/>
      <c r="N366" s="333"/>
      <c r="O366" s="962"/>
      <c r="P366" s="409">
        <f>M369</f>
        <v>300</v>
      </c>
    </row>
    <row r="367" spans="1:15" ht="15">
      <c r="A367" s="385"/>
      <c r="B367" s="349"/>
      <c r="C367" s="414"/>
      <c r="D367" s="325"/>
      <c r="E367" s="350"/>
      <c r="F367" s="414"/>
      <c r="G367" s="325"/>
      <c r="H367" s="350"/>
      <c r="I367" s="346"/>
      <c r="J367" s="347"/>
      <c r="K367" s="347"/>
      <c r="L367" s="348"/>
      <c r="M367" s="347"/>
      <c r="N367" s="334"/>
      <c r="O367" s="962"/>
    </row>
    <row r="368" spans="1:15" ht="15">
      <c r="A368" s="385"/>
      <c r="B368" s="349"/>
      <c r="C368" s="414"/>
      <c r="D368" s="325"/>
      <c r="E368" s="350"/>
      <c r="F368" s="414"/>
      <c r="G368" s="325"/>
      <c r="H368" s="350"/>
      <c r="I368" s="346"/>
      <c r="J368" s="347"/>
      <c r="K368" s="347"/>
      <c r="L368" s="348"/>
      <c r="M368" s="347"/>
      <c r="N368" s="334"/>
      <c r="O368" s="962"/>
    </row>
    <row r="369" spans="1:15" ht="15">
      <c r="A369" s="386"/>
      <c r="B369" s="316"/>
      <c r="C369" s="317"/>
      <c r="D369" s="318"/>
      <c r="E369" s="319"/>
      <c r="F369" s="317"/>
      <c r="G369" s="318"/>
      <c r="H369" s="319"/>
      <c r="I369" s="320"/>
      <c r="J369" s="321"/>
      <c r="K369" s="322"/>
      <c r="L369" s="323"/>
      <c r="M369" s="324">
        <v>300</v>
      </c>
      <c r="N369" s="330" t="str">
        <f>ORÇ!E142</f>
        <v>M</v>
      </c>
      <c r="O369" s="962"/>
    </row>
    <row r="370" spans="1:16" ht="15">
      <c r="A370" s="385" t="str">
        <f>ORÇ!C143</f>
        <v>8.2.4</v>
      </c>
      <c r="B370" s="315" t="str">
        <f>VLOOKUP(A370,ORÇ!$C$1:$I$158,2,0)</f>
        <v>Sinalização vertical com chapa em esmalte sintético</v>
      </c>
      <c r="C370" s="964"/>
      <c r="D370" s="965"/>
      <c r="E370" s="966"/>
      <c r="F370" s="964"/>
      <c r="G370" s="965"/>
      <c r="H370" s="966"/>
      <c r="I370" s="346"/>
      <c r="J370" s="326"/>
      <c r="K370" s="347"/>
      <c r="L370" s="348"/>
      <c r="M370" s="347"/>
      <c r="N370" s="333"/>
      <c r="O370" s="962"/>
      <c r="P370" s="409">
        <f>M373</f>
        <v>12</v>
      </c>
    </row>
    <row r="371" spans="1:15" ht="15">
      <c r="A371" s="385"/>
      <c r="B371" s="349"/>
      <c r="C371" s="414"/>
      <c r="D371" s="325"/>
      <c r="E371" s="350"/>
      <c r="F371" s="414"/>
      <c r="G371" s="325"/>
      <c r="H371" s="350"/>
      <c r="I371" s="346"/>
      <c r="J371" s="347"/>
      <c r="K371" s="347"/>
      <c r="L371" s="348"/>
      <c r="M371" s="347"/>
      <c r="N371" s="334"/>
      <c r="O371" s="962"/>
    </row>
    <row r="372" spans="1:15" ht="15">
      <c r="A372" s="385"/>
      <c r="B372" s="349"/>
      <c r="C372" s="414"/>
      <c r="D372" s="325"/>
      <c r="E372" s="350"/>
      <c r="F372" s="414"/>
      <c r="G372" s="325"/>
      <c r="H372" s="350"/>
      <c r="I372" s="346"/>
      <c r="J372" s="347"/>
      <c r="K372" s="347"/>
      <c r="L372" s="348"/>
      <c r="M372" s="347"/>
      <c r="N372" s="334"/>
      <c r="O372" s="962"/>
    </row>
    <row r="373" spans="1:15" ht="15">
      <c r="A373" s="419"/>
      <c r="B373" s="420"/>
      <c r="C373" s="421"/>
      <c r="D373" s="422"/>
      <c r="E373" s="423"/>
      <c r="F373" s="421"/>
      <c r="G373" s="422"/>
      <c r="H373" s="423"/>
      <c r="I373" s="424"/>
      <c r="J373" s="425"/>
      <c r="K373" s="426"/>
      <c r="L373" s="427"/>
      <c r="M373" s="428">
        <v>12</v>
      </c>
      <c r="N373" s="429" t="str">
        <f>ORÇ!E143</f>
        <v>M2</v>
      </c>
      <c r="O373" s="968"/>
    </row>
    <row r="374" spans="1:16" ht="24">
      <c r="A374" s="385" t="str">
        <f>ORÇ!C144</f>
        <v>8.2.5</v>
      </c>
      <c r="B374" s="315" t="str">
        <f>VLOOKUP(A374,ORÇ!$C$1:$I$158,2,0)</f>
        <v>Sinalização noturna ( fio com lâmpada e balde ), fornecimento e instalação</v>
      </c>
      <c r="C374" s="974"/>
      <c r="D374" s="979"/>
      <c r="E374" s="980"/>
      <c r="F374" s="974"/>
      <c r="G374" s="979"/>
      <c r="H374" s="980"/>
      <c r="I374" s="346"/>
      <c r="J374" s="326"/>
      <c r="K374" s="347"/>
      <c r="L374" s="348"/>
      <c r="M374" s="347"/>
      <c r="N374" s="333"/>
      <c r="O374" s="962" t="s">
        <v>217</v>
      </c>
      <c r="P374" s="409">
        <f>M377</f>
        <v>150</v>
      </c>
    </row>
    <row r="375" spans="1:15" ht="15">
      <c r="A375" s="385"/>
      <c r="B375" s="349"/>
      <c r="C375" s="383"/>
      <c r="D375" s="325"/>
      <c r="E375" s="350"/>
      <c r="F375" s="383"/>
      <c r="G375" s="325"/>
      <c r="H375" s="350"/>
      <c r="I375" s="346"/>
      <c r="J375" s="347"/>
      <c r="K375" s="347"/>
      <c r="L375" s="348"/>
      <c r="M375" s="347"/>
      <c r="N375" s="334"/>
      <c r="O375" s="962"/>
    </row>
    <row r="376" spans="1:15" ht="15">
      <c r="A376" s="385"/>
      <c r="B376" s="349"/>
      <c r="C376" s="383"/>
      <c r="D376" s="325"/>
      <c r="E376" s="350"/>
      <c r="F376" s="383"/>
      <c r="G376" s="325"/>
      <c r="H376" s="350"/>
      <c r="I376" s="346"/>
      <c r="J376" s="347"/>
      <c r="K376" s="347"/>
      <c r="L376" s="348"/>
      <c r="M376" s="347"/>
      <c r="N376" s="334"/>
      <c r="O376" s="962"/>
    </row>
    <row r="377" spans="1:15" ht="15">
      <c r="A377" s="386"/>
      <c r="B377" s="316"/>
      <c r="C377" s="317"/>
      <c r="D377" s="318"/>
      <c r="E377" s="319"/>
      <c r="F377" s="317"/>
      <c r="G377" s="318"/>
      <c r="H377" s="319"/>
      <c r="I377" s="320"/>
      <c r="J377" s="321"/>
      <c r="K377" s="322"/>
      <c r="L377" s="323"/>
      <c r="M377" s="324">
        <v>150</v>
      </c>
      <c r="N377" s="330" t="str">
        <f>ORÇ!E144</f>
        <v>M</v>
      </c>
      <c r="O377" s="963"/>
    </row>
    <row r="378" spans="1:15" ht="15">
      <c r="A378" s="474" t="str">
        <f>ORÇ!C147</f>
        <v>9.0</v>
      </c>
      <c r="B378" s="475" t="str">
        <f>VLOOKUP(A378,ORÇ!$C$1:$I$158,2,0)</f>
        <v>ADMINISTRAÇÃO LOCAL</v>
      </c>
      <c r="C378" s="476"/>
      <c r="D378" s="477"/>
      <c r="E378" s="478"/>
      <c r="F378" s="476"/>
      <c r="G378" s="477"/>
      <c r="H378" s="478"/>
      <c r="I378" s="479"/>
      <c r="J378" s="480"/>
      <c r="K378" s="481"/>
      <c r="L378" s="482"/>
      <c r="M378" s="481"/>
      <c r="N378" s="476"/>
      <c r="O378" s="484"/>
    </row>
    <row r="379" spans="1:16" ht="15">
      <c r="A379" s="385" t="str">
        <f>ORÇ!C148</f>
        <v>9.1</v>
      </c>
      <c r="B379" s="315" t="str">
        <f>VLOOKUP(A379,ORÇ!$C$1:$I$158,2,0)</f>
        <v>Administração Local</v>
      </c>
      <c r="C379" s="964"/>
      <c r="D379" s="965"/>
      <c r="E379" s="966"/>
      <c r="F379" s="964"/>
      <c r="G379" s="965"/>
      <c r="H379" s="966"/>
      <c r="I379" s="346"/>
      <c r="J379" s="326"/>
      <c r="K379" s="347"/>
      <c r="L379" s="348"/>
      <c r="M379" s="347"/>
      <c r="N379" s="333"/>
      <c r="O379" s="961" t="s">
        <v>218</v>
      </c>
      <c r="P379" s="409">
        <f>M382</f>
        <v>1</v>
      </c>
    </row>
    <row r="380" spans="1:15" ht="15">
      <c r="A380" s="385"/>
      <c r="B380" s="349"/>
      <c r="C380" s="383"/>
      <c r="D380" s="325"/>
      <c r="E380" s="350"/>
      <c r="F380" s="383"/>
      <c r="G380" s="325"/>
      <c r="H380" s="350"/>
      <c r="I380" s="346"/>
      <c r="J380" s="347"/>
      <c r="K380" s="347"/>
      <c r="L380" s="348"/>
      <c r="M380" s="347"/>
      <c r="N380" s="334"/>
      <c r="O380" s="962"/>
    </row>
    <row r="381" spans="1:15" ht="15">
      <c r="A381" s="385"/>
      <c r="B381" s="349"/>
      <c r="C381" s="383"/>
      <c r="D381" s="325"/>
      <c r="E381" s="350"/>
      <c r="F381" s="383"/>
      <c r="G381" s="325"/>
      <c r="H381" s="350"/>
      <c r="I381" s="346"/>
      <c r="J381" s="347"/>
      <c r="K381" s="347"/>
      <c r="L381" s="348"/>
      <c r="M381" s="347"/>
      <c r="N381" s="334"/>
      <c r="O381" s="962"/>
    </row>
    <row r="382" spans="1:15" ht="15.75" thickBot="1">
      <c r="A382" s="388"/>
      <c r="B382" s="389"/>
      <c r="C382" s="390"/>
      <c r="D382" s="391"/>
      <c r="E382" s="392"/>
      <c r="F382" s="390"/>
      <c r="G382" s="391"/>
      <c r="H382" s="392"/>
      <c r="I382" s="393"/>
      <c r="J382" s="394"/>
      <c r="K382" s="395"/>
      <c r="L382" s="396"/>
      <c r="M382" s="397">
        <v>1</v>
      </c>
      <c r="N382" s="398" t="str">
        <f>ORÇ!E148</f>
        <v>und</v>
      </c>
      <c r="O382" s="977"/>
    </row>
    <row r="383" ht="15">
      <c r="O383"/>
    </row>
    <row r="384" ht="15">
      <c r="O384"/>
    </row>
    <row r="385" ht="15">
      <c r="O385"/>
    </row>
    <row r="386" ht="15">
      <c r="O386"/>
    </row>
    <row r="387" ht="15">
      <c r="O387"/>
    </row>
    <row r="388" ht="15">
      <c r="O388"/>
    </row>
    <row r="389" ht="15">
      <c r="O389"/>
    </row>
    <row r="390" ht="15">
      <c r="O390"/>
    </row>
    <row r="391" ht="15">
      <c r="O391"/>
    </row>
    <row r="392" ht="15">
      <c r="O392"/>
    </row>
    <row r="393" ht="15">
      <c r="O393"/>
    </row>
    <row r="394" ht="15">
      <c r="O394"/>
    </row>
    <row r="395" ht="15">
      <c r="O395"/>
    </row>
    <row r="396" ht="15">
      <c r="O396"/>
    </row>
    <row r="397" ht="15">
      <c r="O397"/>
    </row>
    <row r="398" ht="15">
      <c r="O398"/>
    </row>
    <row r="403" ht="15">
      <c r="F403" s="643" t="s">
        <v>584</v>
      </c>
    </row>
  </sheetData>
  <sheetProtection/>
  <mergeCells count="251">
    <mergeCell ref="C40:E40"/>
    <mergeCell ref="F40:H40"/>
    <mergeCell ref="O31:O42"/>
    <mergeCell ref="O98:O119"/>
    <mergeCell ref="C135:E135"/>
    <mergeCell ref="F135:H135"/>
    <mergeCell ref="O135:O137"/>
    <mergeCell ref="C34:E34"/>
    <mergeCell ref="F34:H34"/>
    <mergeCell ref="C37:E37"/>
    <mergeCell ref="F37:H37"/>
    <mergeCell ref="C193:E193"/>
    <mergeCell ref="F193:H193"/>
    <mergeCell ref="C25:E25"/>
    <mergeCell ref="F25:H25"/>
    <mergeCell ref="O25:O29"/>
    <mergeCell ref="C31:E31"/>
    <mergeCell ref="F31:H31"/>
    <mergeCell ref="O193:O195"/>
    <mergeCell ref="F151:H151"/>
    <mergeCell ref="C22:E22"/>
    <mergeCell ref="F22:H22"/>
    <mergeCell ref="O22:O24"/>
    <mergeCell ref="C125:E125"/>
    <mergeCell ref="F125:H125"/>
    <mergeCell ref="O125:O127"/>
    <mergeCell ref="F60:H60"/>
    <mergeCell ref="C63:E63"/>
    <mergeCell ref="F63:H63"/>
    <mergeCell ref="C66:E66"/>
    <mergeCell ref="C16:E16"/>
    <mergeCell ref="F16:H16"/>
    <mergeCell ref="O16:O18"/>
    <mergeCell ref="C19:E19"/>
    <mergeCell ref="F19:H19"/>
    <mergeCell ref="O19:O21"/>
    <mergeCell ref="A2:A3"/>
    <mergeCell ref="C6:E6"/>
    <mergeCell ref="F6:H6"/>
    <mergeCell ref="O6:O8"/>
    <mergeCell ref="C13:E13"/>
    <mergeCell ref="F13:H13"/>
    <mergeCell ref="O13:O15"/>
    <mergeCell ref="C9:E9"/>
    <mergeCell ref="F9:H9"/>
    <mergeCell ref="O9:O12"/>
    <mergeCell ref="O358:O373"/>
    <mergeCell ref="O184:O186"/>
    <mergeCell ref="C164:E164"/>
    <mergeCell ref="F164:H164"/>
    <mergeCell ref="O309:O316"/>
    <mergeCell ref="O60:O71"/>
    <mergeCell ref="C190:E190"/>
    <mergeCell ref="F213:H213"/>
    <mergeCell ref="O157:O162"/>
    <mergeCell ref="O345:O352"/>
    <mergeCell ref="O374:O377"/>
    <mergeCell ref="O317:O320"/>
    <mergeCell ref="O321:O332"/>
    <mergeCell ref="O337:O344"/>
    <mergeCell ref="O353:O356"/>
    <mergeCell ref="F190:H190"/>
    <mergeCell ref="O213:O215"/>
    <mergeCell ref="O196:O198"/>
    <mergeCell ref="O301:O308"/>
    <mergeCell ref="F280:H280"/>
    <mergeCell ref="F145:H145"/>
    <mergeCell ref="C151:E151"/>
    <mergeCell ref="C69:E69"/>
    <mergeCell ref="F82:H82"/>
    <mergeCell ref="C73:E73"/>
    <mergeCell ref="F73:H73"/>
    <mergeCell ref="C85:E85"/>
    <mergeCell ref="F85:H85"/>
    <mergeCell ref="C88:E88"/>
    <mergeCell ref="F88:H88"/>
    <mergeCell ref="O164:O182"/>
    <mergeCell ref="C60:E60"/>
    <mergeCell ref="F180:H180"/>
    <mergeCell ref="C145:E145"/>
    <mergeCell ref="F69:H69"/>
    <mergeCell ref="C79:E79"/>
    <mergeCell ref="F79:H79"/>
    <mergeCell ref="C82:E82"/>
    <mergeCell ref="F66:H66"/>
    <mergeCell ref="O141:O143"/>
    <mergeCell ref="A1:O1"/>
    <mergeCell ref="B2:O3"/>
    <mergeCell ref="F104:H104"/>
    <mergeCell ref="C98:E98"/>
    <mergeCell ref="F98:H98"/>
    <mergeCell ref="F292:H292"/>
    <mergeCell ref="C171:E171"/>
    <mergeCell ref="F171:H171"/>
    <mergeCell ref="F184:H184"/>
    <mergeCell ref="C180:E180"/>
    <mergeCell ref="O379:O382"/>
    <mergeCell ref="C45:E45"/>
    <mergeCell ref="F45:H45"/>
    <mergeCell ref="O45:O47"/>
    <mergeCell ref="F57:H57"/>
    <mergeCell ref="C374:E374"/>
    <mergeCell ref="F374:H374"/>
    <mergeCell ref="C379:E379"/>
    <mergeCell ref="O187:O189"/>
    <mergeCell ref="O190:O192"/>
    <mergeCell ref="F379:H379"/>
    <mergeCell ref="C362:E362"/>
    <mergeCell ref="F362:H362"/>
    <mergeCell ref="C366:E366"/>
    <mergeCell ref="F366:H366"/>
    <mergeCell ref="C370:E370"/>
    <mergeCell ref="F370:H370"/>
    <mergeCell ref="C349:E349"/>
    <mergeCell ref="F349:H349"/>
    <mergeCell ref="C353:E353"/>
    <mergeCell ref="F353:H353"/>
    <mergeCell ref="C358:E358"/>
    <mergeCell ref="F358:H358"/>
    <mergeCell ref="C337:E337"/>
    <mergeCell ref="F337:H337"/>
    <mergeCell ref="C341:E341"/>
    <mergeCell ref="F341:H341"/>
    <mergeCell ref="C345:E345"/>
    <mergeCell ref="F345:H345"/>
    <mergeCell ref="C325:E325"/>
    <mergeCell ref="F325:H325"/>
    <mergeCell ref="C329:E329"/>
    <mergeCell ref="F329:H329"/>
    <mergeCell ref="C333:E333"/>
    <mergeCell ref="F333:H333"/>
    <mergeCell ref="C313:E313"/>
    <mergeCell ref="F313:H313"/>
    <mergeCell ref="C317:E317"/>
    <mergeCell ref="F317:H317"/>
    <mergeCell ref="C321:E321"/>
    <mergeCell ref="F321:H321"/>
    <mergeCell ref="O297:O300"/>
    <mergeCell ref="O333:O336"/>
    <mergeCell ref="C297:E297"/>
    <mergeCell ref="F297:H297"/>
    <mergeCell ref="C301:E301"/>
    <mergeCell ref="F301:H301"/>
    <mergeCell ref="C305:E305"/>
    <mergeCell ref="F305:H305"/>
    <mergeCell ref="C309:E309"/>
    <mergeCell ref="F309:H309"/>
    <mergeCell ref="C187:E187"/>
    <mergeCell ref="F187:H187"/>
    <mergeCell ref="C292:E292"/>
    <mergeCell ref="C174:E174"/>
    <mergeCell ref="F174:H174"/>
    <mergeCell ref="F283:H283"/>
    <mergeCell ref="F286:H286"/>
    <mergeCell ref="C184:E184"/>
    <mergeCell ref="C280:E280"/>
    <mergeCell ref="C196:E196"/>
    <mergeCell ref="F196:H196"/>
    <mergeCell ref="C286:E286"/>
    <mergeCell ref="C283:E283"/>
    <mergeCell ref="C213:E213"/>
    <mergeCell ref="C48:E48"/>
    <mergeCell ref="C157:E157"/>
    <mergeCell ref="F157:H157"/>
    <mergeCell ref="F91:H91"/>
    <mergeCell ref="C76:E76"/>
    <mergeCell ref="F76:H76"/>
    <mergeCell ref="O48:O56"/>
    <mergeCell ref="O57:O59"/>
    <mergeCell ref="O145:O150"/>
    <mergeCell ref="C57:E57"/>
    <mergeCell ref="O151:O156"/>
    <mergeCell ref="C132:E132"/>
    <mergeCell ref="F132:H132"/>
    <mergeCell ref="O132:O134"/>
    <mergeCell ref="F48:H48"/>
    <mergeCell ref="C91:E91"/>
    <mergeCell ref="O122:O124"/>
    <mergeCell ref="C128:E128"/>
    <mergeCell ref="F128:H128"/>
    <mergeCell ref="O128:O130"/>
    <mergeCell ref="C94:E94"/>
    <mergeCell ref="F141:H141"/>
    <mergeCell ref="C122:E122"/>
    <mergeCell ref="F122:H122"/>
    <mergeCell ref="C138:E138"/>
    <mergeCell ref="F138:H138"/>
    <mergeCell ref="O73:O87"/>
    <mergeCell ref="O88:O96"/>
    <mergeCell ref="C109:E109"/>
    <mergeCell ref="F109:H109"/>
    <mergeCell ref="C117:E117"/>
    <mergeCell ref="F117:H117"/>
    <mergeCell ref="F94:H94"/>
    <mergeCell ref="C104:E104"/>
    <mergeCell ref="O216:O218"/>
    <mergeCell ref="O138:O140"/>
    <mergeCell ref="C168:E168"/>
    <mergeCell ref="F168:H168"/>
    <mergeCell ref="C177:E177"/>
    <mergeCell ref="F177:H177"/>
    <mergeCell ref="C204:E204"/>
    <mergeCell ref="F204:H204"/>
    <mergeCell ref="O204:O206"/>
    <mergeCell ref="C141:E141"/>
    <mergeCell ref="F207:H207"/>
    <mergeCell ref="O207:O209"/>
    <mergeCell ref="C219:E219"/>
    <mergeCell ref="F219:H219"/>
    <mergeCell ref="O219:O221"/>
    <mergeCell ref="C210:E210"/>
    <mergeCell ref="F210:H210"/>
    <mergeCell ref="O210:O212"/>
    <mergeCell ref="C216:E216"/>
    <mergeCell ref="F216:H216"/>
    <mergeCell ref="C225:E225"/>
    <mergeCell ref="F225:H225"/>
    <mergeCell ref="O225:O227"/>
    <mergeCell ref="C200:E200"/>
    <mergeCell ref="F200:H200"/>
    <mergeCell ref="O200:O203"/>
    <mergeCell ref="C222:E222"/>
    <mergeCell ref="F222:H222"/>
    <mergeCell ref="O222:O224"/>
    <mergeCell ref="C207:E207"/>
    <mergeCell ref="C228:E228"/>
    <mergeCell ref="F228:H228"/>
    <mergeCell ref="O228:O230"/>
    <mergeCell ref="C231:E231"/>
    <mergeCell ref="F231:H231"/>
    <mergeCell ref="O231:O233"/>
    <mergeCell ref="C289:E289"/>
    <mergeCell ref="F289:H289"/>
    <mergeCell ref="C234:E234"/>
    <mergeCell ref="F234:H234"/>
    <mergeCell ref="O234:O236"/>
    <mergeCell ref="O280:O294"/>
    <mergeCell ref="O242:O244"/>
    <mergeCell ref="O246:O248"/>
    <mergeCell ref="O249:O251"/>
    <mergeCell ref="O253:O255"/>
    <mergeCell ref="O270:O272"/>
    <mergeCell ref="O264:O266"/>
    <mergeCell ref="O273:O275"/>
    <mergeCell ref="O276:O278"/>
    <mergeCell ref="O257:O259"/>
    <mergeCell ref="C237:E237"/>
    <mergeCell ref="F237:H237"/>
    <mergeCell ref="O237:O239"/>
    <mergeCell ref="O260:O262"/>
    <mergeCell ref="O267:O269"/>
  </mergeCells>
  <printOptions/>
  <pageMargins left="0.2362204724409449" right="0.2362204724409449" top="0.7480314960629921" bottom="0.7480314960629921" header="0.31496062992125984" footer="0.31496062992125984"/>
  <pageSetup firstPageNumber="148" useFirstPageNumber="1" fitToHeight="0" fitToWidth="1" horizontalDpi="600" verticalDpi="600" orientation="landscape" paperSize="9" scale="83" r:id="rId2"/>
  <headerFooter>
    <oddFooter>&amp;C&amp;P</oddFooter>
  </headerFooter>
  <rowBreaks count="16" manualBreakCount="16">
    <brk id="29" max="14" man="1"/>
    <brk id="42" max="14" man="1"/>
    <brk id="71" max="14" man="1"/>
    <brk id="96" max="14" man="1"/>
    <brk id="119" max="14" man="1"/>
    <brk id="143" max="14" man="1"/>
    <brk id="162" max="14" man="1"/>
    <brk id="182" max="14" man="1"/>
    <brk id="198" max="14" man="1"/>
    <brk id="239" max="14" man="1"/>
    <brk id="255" max="14" man="1"/>
    <brk id="278" max="14" man="1"/>
    <brk id="294" max="14" man="1"/>
    <brk id="320" max="14" man="1"/>
    <brk id="344" max="14" man="1"/>
    <brk id="37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Pereira Silva</dc:creator>
  <cp:keywords/>
  <dc:description/>
  <cp:lastModifiedBy>SERP PMCOL M1</cp:lastModifiedBy>
  <cp:lastPrinted>2022-10-10T12:36:09Z</cp:lastPrinted>
  <dcterms:created xsi:type="dcterms:W3CDTF">2012-11-09T11:28:15Z</dcterms:created>
  <dcterms:modified xsi:type="dcterms:W3CDTF">2022-10-10T14:25:00Z</dcterms:modified>
  <cp:category/>
  <cp:version/>
  <cp:contentType/>
  <cp:contentStatus/>
</cp:coreProperties>
</file>