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5.xml" ContentType="application/vnd.openxmlformats-officedocument.drawing+xml"/>
  <Override PartName="/xl/embeddings/oleObject3.bin" ContentType="application/vnd.openxmlformats-officedocument.oleObject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filterPrivacy="1"/>
  <xr:revisionPtr revIDLastSave="0" documentId="13_ncr:1_{E20FFFA6-B4B6-40A4-B0FF-57BDBE486C95}" xr6:coauthVersionLast="47" xr6:coauthVersionMax="47" xr10:uidLastSave="{00000000-0000-0000-0000-000000000000}"/>
  <bookViews>
    <workbookView xWindow="-28920" yWindow="-120" windowWidth="29040" windowHeight="15720" tabRatio="957" activeTab="5" xr2:uid="{00000000-000D-0000-FFFF-FFFF00000000}"/>
  </bookViews>
  <sheets>
    <sheet name="PLANILHA ORÇAMENTARIA" sheetId="1" r:id="rId1"/>
    <sheet name="MEMORIA DE CALCULO" sheetId="27" r:id="rId2"/>
    <sheet name="CRONOGRAMA" sheetId="9" r:id="rId3"/>
    <sheet name="CRONOGRAMA REFORMA" sheetId="21" state="hidden" r:id="rId4"/>
    <sheet name="COMPOSICOES" sheetId="15" r:id="rId5"/>
    <sheet name="BDI" sheetId="11" r:id="rId6"/>
    <sheet name="BDI DIFERENCIADO" sheetId="28" r:id="rId7"/>
    <sheet name="COTAÇÕES" sheetId="31" r:id="rId8"/>
    <sheet name="COT-AUX" sheetId="32" r:id="rId9"/>
  </sheets>
  <externalReferences>
    <externalReference r:id="rId10"/>
    <externalReference r:id="rId11"/>
    <externalReference r:id="rId12"/>
  </externalReferences>
  <definedNames>
    <definedName name="_xlnm._FilterDatabase" localSheetId="4" hidden="1">COMPOSICOES!$C$1:$C$151</definedName>
    <definedName name="_xlnm._FilterDatabase" localSheetId="0" hidden="1">'PLANILHA ORÇAMENTARIA'!$E$1:$E$300</definedName>
    <definedName name="_xlnm.Print_Area" localSheetId="5">BDI!$B$2:$E$36</definedName>
    <definedName name="_xlnm.Print_Area" localSheetId="6">'BDI DIFERENCIADO'!$B$2:$E$35</definedName>
    <definedName name="_xlnm.Print_Area" localSheetId="4">COMPOSICOES!$B$1:$J$152</definedName>
    <definedName name="_xlnm.Print_Area" localSheetId="8">'COT-AUX'!$A$1:$G$347</definedName>
    <definedName name="_xlnm.Print_Area" localSheetId="2">CRONOGRAMA!$B$2:$S$61</definedName>
    <definedName name="_xlnm.Print_Area" localSheetId="3">'CRONOGRAMA REFORMA'!$B$2:$K$17</definedName>
    <definedName name="_xlnm.Print_Area" localSheetId="1">'MEMORIA DE CALCULO'!$A$2:$K$305</definedName>
    <definedName name="_xlnm.Print_Area" localSheetId="0">'PLANILHA ORÇAMENTARIA'!$B$2:$J$298</definedName>
    <definedName name="BDI" localSheetId="6">'BDI DIFERENCIADO'!$E$33</definedName>
    <definedName name="BDI">BDI!$E$34</definedName>
    <definedName name="JR_PAGE_ANCHOR_0_1" localSheetId="4">[1]ORCAMENTO!#REF!</definedName>
    <definedName name="JR_PAGE_ANCHOR_0_1" localSheetId="3">#REF!</definedName>
    <definedName name="JR_PAGE_ANCHOR_0_1">'PLANILHA ORÇAMENTARIA'!#REF!</definedName>
    <definedName name="JR_PAGE_ANCHOR_1_1" localSheetId="4">#REF!</definedName>
    <definedName name="JR_PAGE_ANCHOR_1_1" localSheetId="3">#REF!</definedName>
    <definedName name="JR_PAGE_ANCHOR_1_1">#REF!</definedName>
    <definedName name="JR_PAGE_ANCHOR_10_1" localSheetId="6">'BDI DIFERENCIADO'!#REF!</definedName>
    <definedName name="JR_PAGE_ANCHOR_10_1" localSheetId="4">[1]BDI!#REF!</definedName>
    <definedName name="JR_PAGE_ANCHOR_10_1" localSheetId="3">[2]BDI!#REF!</definedName>
    <definedName name="JR_PAGE_ANCHOR_10_1">BDI!#REF!</definedName>
    <definedName name="JR_PAGE_ANCHOR_11_1" localSheetId="4">'[1]ENCARGOS SOCIAIS'!#REF!</definedName>
    <definedName name="JR_PAGE_ANCHOR_11_1" localSheetId="3">'[2]ENCARGOS SOCIAIS'!#REF!</definedName>
    <definedName name="JR_PAGE_ANCHOR_11_1">#REF!</definedName>
    <definedName name="JR_PAGE_ANCHOR_2_1" localSheetId="4">#REF!</definedName>
    <definedName name="JR_PAGE_ANCHOR_2_1" localSheetId="3">#REF!</definedName>
    <definedName name="JR_PAGE_ANCHOR_2_1">#REF!</definedName>
    <definedName name="JR_PAGE_ANCHOR_3_1" localSheetId="4">#REF!</definedName>
    <definedName name="JR_PAGE_ANCHOR_3_1" localSheetId="3">#REF!</definedName>
    <definedName name="JR_PAGE_ANCHOR_3_1">#REF!</definedName>
    <definedName name="JR_PAGE_ANCHOR_4_1" localSheetId="4">#REF!</definedName>
    <definedName name="JR_PAGE_ANCHOR_4_1" localSheetId="3">#REF!</definedName>
    <definedName name="JR_PAGE_ANCHOR_4_1">#REF!</definedName>
    <definedName name="JR_PAGE_ANCHOR_5_1" localSheetId="4">#REF!</definedName>
    <definedName name="JR_PAGE_ANCHOR_5_1" localSheetId="3">#REF!</definedName>
    <definedName name="JR_PAGE_ANCHOR_5_1">#REF!</definedName>
    <definedName name="JR_PAGE_ANCHOR_6_1" localSheetId="4">#REF!</definedName>
    <definedName name="JR_PAGE_ANCHOR_6_1" localSheetId="3">#REF!</definedName>
    <definedName name="JR_PAGE_ANCHOR_6_1">#REF!</definedName>
    <definedName name="JR_PAGE_ANCHOR_7_1" localSheetId="4">#REF!</definedName>
    <definedName name="JR_PAGE_ANCHOR_7_1" localSheetId="3">#REF!</definedName>
    <definedName name="JR_PAGE_ANCHOR_7_1">#REF!</definedName>
    <definedName name="JR_PAGE_ANCHOR_8_1" localSheetId="4">[1]CRONOGRAMA!#REF!</definedName>
    <definedName name="JR_PAGE_ANCHOR_8_1" localSheetId="3">'CRONOGRAMA REFORMA'!#REF!</definedName>
    <definedName name="JR_PAGE_ANCHOR_8_1">CRONOGRAMA!#REF!</definedName>
    <definedName name="JR_PAGE_ANCHOR_9_1" localSheetId="4">#REF!</definedName>
    <definedName name="JR_PAGE_ANCHOR_9_1" localSheetId="3">#REF!</definedName>
    <definedName name="JR_PAGE_ANCHOR_9_1">#REF!</definedName>
    <definedName name="PREÇO">'[3]Lista Preço'!#REF!</definedName>
    <definedName name="sinapi">#REF!</definedName>
    <definedName name="_xlnm.Print_Titles" localSheetId="4">COMPOSICOES!$1:$12</definedName>
    <definedName name="_xlnm.Print_Titles" localSheetId="8">'COT-AUX'!$1:$1</definedName>
    <definedName name="_xlnm.Print_Titles" localSheetId="2">CRONOGRAMA!$2:$15</definedName>
    <definedName name="_xlnm.Print_Titles" localSheetId="3">'CRONOGRAMA REFORMA'!$2:$18</definedName>
    <definedName name="_xlnm.Print_Titles" localSheetId="1">'MEMORIA DE CALCULO'!$2:$15</definedName>
    <definedName name="_xlnm.Print_Titles" localSheetId="0">'PLANILHA ORÇAMENTARIA'!$2:$17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4" i="11" l="1"/>
  <c r="K304" i="27"/>
  <c r="K303" i="27"/>
  <c r="D304" i="27"/>
  <c r="C304" i="27"/>
  <c r="G295" i="1"/>
  <c r="H44" i="31"/>
  <c r="A44" i="31"/>
  <c r="F43" i="31"/>
  <c r="A43" i="31"/>
  <c r="F279" i="32"/>
  <c r="H45" i="31" s="1"/>
  <c r="F242" i="32"/>
  <c r="H43" i="31" s="1"/>
  <c r="C316" i="32"/>
  <c r="B316" i="32"/>
  <c r="A316" i="32"/>
  <c r="C279" i="32"/>
  <c r="B279" i="32"/>
  <c r="A279" i="32"/>
  <c r="C242" i="32"/>
  <c r="B242" i="32"/>
  <c r="A242" i="32"/>
  <c r="G32" i="31"/>
  <c r="F198" i="32"/>
  <c r="H29" i="31" s="1"/>
  <c r="E198" i="32"/>
  <c r="D198" i="32"/>
  <c r="F28" i="31"/>
  <c r="F27" i="31"/>
  <c r="F160" i="32"/>
  <c r="H28" i="31" s="1"/>
  <c r="C198" i="32"/>
  <c r="B198" i="32"/>
  <c r="A198" i="32"/>
  <c r="C160" i="32"/>
  <c r="B160" i="32"/>
  <c r="A160" i="32"/>
  <c r="C119" i="32"/>
  <c r="B119" i="32"/>
  <c r="A119" i="32"/>
  <c r="D119" i="32"/>
  <c r="F119" i="32"/>
  <c r="H27" i="31" s="1"/>
  <c r="C74" i="32"/>
  <c r="C40" i="32"/>
  <c r="C3" i="32"/>
  <c r="B74" i="32"/>
  <c r="B40" i="32"/>
  <c r="B3" i="32"/>
  <c r="A74" i="32"/>
  <c r="A3" i="32"/>
  <c r="A40" i="32"/>
  <c r="H21" i="31"/>
  <c r="H19" i="31"/>
  <c r="F19" i="31"/>
  <c r="A19" i="31"/>
  <c r="F74" i="32"/>
  <c r="H20" i="31" s="1"/>
  <c r="G40" i="31" l="1"/>
  <c r="G16" i="31"/>
  <c r="G24" i="31"/>
  <c r="C193" i="27"/>
  <c r="C192" i="27"/>
  <c r="C198" i="27"/>
  <c r="C208" i="27"/>
  <c r="C221" i="27"/>
  <c r="C230" i="27"/>
  <c r="C233" i="27"/>
  <c r="C242" i="27"/>
  <c r="C245" i="27"/>
  <c r="C257" i="27"/>
  <c r="C271" i="27"/>
  <c r="C283" i="27"/>
  <c r="C282" i="27"/>
  <c r="C286" i="27"/>
  <c r="C289" i="27"/>
  <c r="C294" i="27"/>
  <c r="C181" i="27"/>
  <c r="C177" i="27"/>
  <c r="C157" i="27"/>
  <c r="C148" i="27"/>
  <c r="C144" i="27"/>
  <c r="C137" i="27"/>
  <c r="C131" i="27"/>
  <c r="C125" i="27"/>
  <c r="C124" i="27"/>
  <c r="C113" i="27"/>
  <c r="C109" i="27"/>
  <c r="C96" i="27"/>
  <c r="C95" i="27"/>
  <c r="C86" i="27"/>
  <c r="C78" i="27"/>
  <c r="C75" i="27"/>
  <c r="C72" i="27"/>
  <c r="C69" i="27"/>
  <c r="C62" i="27"/>
  <c r="C61" i="27"/>
  <c r="C57" i="27"/>
  <c r="C52" i="27"/>
  <c r="C47" i="27"/>
  <c r="C43" i="27"/>
  <c r="C17" i="27"/>
  <c r="C16" i="27"/>
  <c r="D303" i="27"/>
  <c r="C303" i="27"/>
  <c r="D302" i="27"/>
  <c r="C302" i="27"/>
  <c r="D301" i="27"/>
  <c r="C301" i="27"/>
  <c r="D300" i="27"/>
  <c r="C300" i="27"/>
  <c r="D299" i="27"/>
  <c r="C299" i="27"/>
  <c r="D298" i="27"/>
  <c r="C298" i="27"/>
  <c r="D297" i="27"/>
  <c r="C297" i="27"/>
  <c r="D296" i="27"/>
  <c r="C296" i="27"/>
  <c r="D295" i="27"/>
  <c r="C295" i="27"/>
  <c r="D293" i="27"/>
  <c r="C293" i="27"/>
  <c r="D292" i="27"/>
  <c r="C292" i="27"/>
  <c r="D291" i="27"/>
  <c r="C291" i="27"/>
  <c r="D290" i="27"/>
  <c r="C290" i="27"/>
  <c r="D288" i="27"/>
  <c r="C288" i="27"/>
  <c r="D287" i="27"/>
  <c r="C287" i="27"/>
  <c r="D285" i="27"/>
  <c r="C285" i="27"/>
  <c r="D284" i="27"/>
  <c r="C284" i="27"/>
  <c r="D281" i="27"/>
  <c r="C281" i="27"/>
  <c r="D280" i="27"/>
  <c r="C280" i="27"/>
  <c r="D279" i="27"/>
  <c r="C279" i="27"/>
  <c r="D278" i="27"/>
  <c r="C278" i="27"/>
  <c r="D277" i="27"/>
  <c r="C277" i="27"/>
  <c r="D276" i="27"/>
  <c r="C276" i="27"/>
  <c r="D275" i="27"/>
  <c r="C275" i="27"/>
  <c r="D274" i="27"/>
  <c r="C274" i="27"/>
  <c r="D273" i="27"/>
  <c r="C273" i="27"/>
  <c r="D272" i="27"/>
  <c r="C272" i="27"/>
  <c r="D270" i="27"/>
  <c r="C270" i="27"/>
  <c r="D269" i="27"/>
  <c r="C269" i="27"/>
  <c r="D268" i="27"/>
  <c r="C268" i="27"/>
  <c r="D267" i="27"/>
  <c r="C267" i="27"/>
  <c r="D266" i="27"/>
  <c r="C266" i="27"/>
  <c r="D265" i="27"/>
  <c r="C265" i="27"/>
  <c r="D264" i="27"/>
  <c r="C264" i="27"/>
  <c r="D263" i="27"/>
  <c r="C263" i="27"/>
  <c r="D262" i="27"/>
  <c r="C262" i="27"/>
  <c r="D261" i="27"/>
  <c r="C261" i="27"/>
  <c r="D260" i="27"/>
  <c r="C260" i="27"/>
  <c r="D259" i="27"/>
  <c r="C259" i="27"/>
  <c r="D258" i="27"/>
  <c r="C258" i="27"/>
  <c r="D256" i="27"/>
  <c r="C256" i="27"/>
  <c r="D255" i="27"/>
  <c r="C255" i="27"/>
  <c r="D254" i="27"/>
  <c r="C254" i="27"/>
  <c r="D253" i="27"/>
  <c r="C253" i="27"/>
  <c r="D252" i="27"/>
  <c r="C252" i="27"/>
  <c r="D251" i="27"/>
  <c r="C251" i="27"/>
  <c r="D250" i="27"/>
  <c r="C250" i="27"/>
  <c r="D249" i="27"/>
  <c r="C249" i="27"/>
  <c r="D248" i="27"/>
  <c r="C248" i="27"/>
  <c r="D247" i="27"/>
  <c r="C247" i="27"/>
  <c r="D246" i="27"/>
  <c r="C246" i="27"/>
  <c r="D244" i="27"/>
  <c r="C244" i="27"/>
  <c r="D243" i="27"/>
  <c r="C243" i="27"/>
  <c r="D241" i="27"/>
  <c r="C241" i="27"/>
  <c r="D240" i="27"/>
  <c r="C240" i="27"/>
  <c r="D239" i="27"/>
  <c r="C239" i="27"/>
  <c r="D238" i="27"/>
  <c r="C238" i="27"/>
  <c r="D237" i="27"/>
  <c r="C237" i="27"/>
  <c r="D236" i="27"/>
  <c r="C236" i="27"/>
  <c r="D235" i="27"/>
  <c r="C235" i="27"/>
  <c r="D234" i="27"/>
  <c r="C234" i="27"/>
  <c r="D232" i="27"/>
  <c r="C232" i="27"/>
  <c r="D231" i="27"/>
  <c r="C231" i="27"/>
  <c r="D229" i="27"/>
  <c r="C229" i="27"/>
  <c r="D228" i="27"/>
  <c r="C228" i="27"/>
  <c r="D227" i="27"/>
  <c r="C227" i="27"/>
  <c r="D226" i="27"/>
  <c r="C226" i="27"/>
  <c r="D225" i="27"/>
  <c r="C225" i="27"/>
  <c r="D224" i="27"/>
  <c r="C224" i="27"/>
  <c r="D223" i="27"/>
  <c r="C223" i="27"/>
  <c r="D222" i="27"/>
  <c r="C222" i="27"/>
  <c r="D220" i="27"/>
  <c r="C220" i="27"/>
  <c r="D219" i="27"/>
  <c r="C219" i="27"/>
  <c r="D218" i="27"/>
  <c r="C218" i="27"/>
  <c r="D217" i="27"/>
  <c r="C217" i="27"/>
  <c r="D216" i="27"/>
  <c r="C216" i="27"/>
  <c r="D215" i="27"/>
  <c r="C215" i="27"/>
  <c r="D214" i="27"/>
  <c r="C214" i="27"/>
  <c r="D213" i="27"/>
  <c r="C213" i="27"/>
  <c r="D212" i="27"/>
  <c r="C212" i="27"/>
  <c r="D211" i="27"/>
  <c r="C211" i="27"/>
  <c r="D210" i="27"/>
  <c r="C210" i="27"/>
  <c r="D209" i="27"/>
  <c r="C209" i="27"/>
  <c r="D207" i="27"/>
  <c r="C207" i="27"/>
  <c r="D206" i="27"/>
  <c r="C206" i="27"/>
  <c r="D205" i="27"/>
  <c r="C205" i="27"/>
  <c r="D204" i="27"/>
  <c r="C204" i="27"/>
  <c r="D203" i="27"/>
  <c r="C203" i="27"/>
  <c r="D202" i="27"/>
  <c r="C202" i="27"/>
  <c r="D201" i="27"/>
  <c r="C201" i="27"/>
  <c r="D200" i="27"/>
  <c r="C200" i="27"/>
  <c r="D199" i="27"/>
  <c r="C199" i="27"/>
  <c r="D197" i="27"/>
  <c r="C197" i="27"/>
  <c r="D196" i="27"/>
  <c r="C196" i="27"/>
  <c r="D195" i="27"/>
  <c r="C195" i="27"/>
  <c r="D194" i="27"/>
  <c r="C194" i="27"/>
  <c r="D191" i="27"/>
  <c r="C191" i="27"/>
  <c r="D190" i="27"/>
  <c r="C190" i="27"/>
  <c r="D189" i="27"/>
  <c r="C189" i="27"/>
  <c r="D188" i="27"/>
  <c r="C188" i="27"/>
  <c r="D187" i="27"/>
  <c r="C187" i="27"/>
  <c r="D186" i="27"/>
  <c r="C186" i="27"/>
  <c r="D185" i="27"/>
  <c r="C185" i="27"/>
  <c r="D184" i="27"/>
  <c r="C184" i="27"/>
  <c r="D183" i="27"/>
  <c r="C183" i="27"/>
  <c r="D182" i="27"/>
  <c r="C182" i="27"/>
  <c r="D180" i="27"/>
  <c r="C180" i="27"/>
  <c r="D179" i="27"/>
  <c r="C179" i="27"/>
  <c r="D178" i="27"/>
  <c r="C178" i="27"/>
  <c r="D176" i="27"/>
  <c r="C176" i="27"/>
  <c r="D175" i="27"/>
  <c r="C175" i="27"/>
  <c r="D174" i="27"/>
  <c r="C174" i="27"/>
  <c r="D173" i="27"/>
  <c r="C173" i="27"/>
  <c r="D172" i="27"/>
  <c r="C172" i="27"/>
  <c r="D171" i="27"/>
  <c r="C171" i="27"/>
  <c r="D170" i="27"/>
  <c r="C170" i="27"/>
  <c r="D169" i="27"/>
  <c r="C169" i="27"/>
  <c r="D168" i="27"/>
  <c r="C168" i="27"/>
  <c r="D167" i="27"/>
  <c r="C167" i="27"/>
  <c r="D166" i="27"/>
  <c r="C166" i="27"/>
  <c r="D165" i="27"/>
  <c r="C165" i="27"/>
  <c r="D164" i="27"/>
  <c r="C164" i="27"/>
  <c r="D163" i="27"/>
  <c r="C163" i="27"/>
  <c r="D162" i="27"/>
  <c r="C162" i="27"/>
  <c r="D161" i="27"/>
  <c r="C161" i="27"/>
  <c r="D160" i="27"/>
  <c r="C160" i="27"/>
  <c r="D159" i="27"/>
  <c r="C159" i="27"/>
  <c r="D158" i="27"/>
  <c r="C158" i="27"/>
  <c r="D156" i="27"/>
  <c r="C156" i="27"/>
  <c r="D155" i="27"/>
  <c r="C155" i="27"/>
  <c r="D154" i="27"/>
  <c r="C154" i="27"/>
  <c r="D153" i="27"/>
  <c r="C153" i="27"/>
  <c r="D152" i="27"/>
  <c r="C152" i="27"/>
  <c r="D151" i="27"/>
  <c r="C151" i="27"/>
  <c r="D150" i="27"/>
  <c r="C150" i="27"/>
  <c r="D149" i="27"/>
  <c r="C149" i="27"/>
  <c r="D147" i="27"/>
  <c r="C147" i="27"/>
  <c r="D146" i="27"/>
  <c r="C146" i="27"/>
  <c r="D145" i="27"/>
  <c r="C145" i="27"/>
  <c r="D143" i="27"/>
  <c r="C143" i="27"/>
  <c r="D142" i="27"/>
  <c r="C142" i="27"/>
  <c r="D141" i="27"/>
  <c r="C141" i="27"/>
  <c r="D140" i="27"/>
  <c r="C140" i="27"/>
  <c r="D139" i="27"/>
  <c r="C139" i="27"/>
  <c r="D138" i="27"/>
  <c r="C138" i="27"/>
  <c r="D136" i="27"/>
  <c r="C136" i="27"/>
  <c r="D135" i="27"/>
  <c r="C135" i="27"/>
  <c r="D134" i="27"/>
  <c r="C134" i="27"/>
  <c r="D133" i="27"/>
  <c r="C133" i="27"/>
  <c r="D132" i="27"/>
  <c r="C132" i="27"/>
  <c r="D130" i="27"/>
  <c r="C130" i="27"/>
  <c r="D129" i="27"/>
  <c r="C129" i="27"/>
  <c r="D128" i="27"/>
  <c r="C128" i="27"/>
  <c r="D127" i="27"/>
  <c r="C127" i="27"/>
  <c r="D126" i="27"/>
  <c r="C126" i="27"/>
  <c r="D121" i="27"/>
  <c r="C121" i="27"/>
  <c r="D116" i="27"/>
  <c r="C116" i="27"/>
  <c r="D115" i="27"/>
  <c r="C115" i="27"/>
  <c r="D114" i="27"/>
  <c r="C114" i="27"/>
  <c r="D112" i="27"/>
  <c r="C112" i="27"/>
  <c r="D111" i="27"/>
  <c r="C111" i="27"/>
  <c r="D110" i="27"/>
  <c r="C110" i="27"/>
  <c r="D108" i="27"/>
  <c r="C108" i="27"/>
  <c r="D107" i="27"/>
  <c r="C107" i="27"/>
  <c r="D102" i="27"/>
  <c r="C102" i="27"/>
  <c r="D101" i="27"/>
  <c r="C101" i="27"/>
  <c r="D100" i="27"/>
  <c r="C100" i="27"/>
  <c r="D99" i="27"/>
  <c r="C99" i="27"/>
  <c r="D98" i="27"/>
  <c r="C98" i="27"/>
  <c r="D97" i="27"/>
  <c r="C97" i="27"/>
  <c r="D94" i="27"/>
  <c r="C94" i="27"/>
  <c r="D93" i="27"/>
  <c r="C93" i="27"/>
  <c r="D92" i="27"/>
  <c r="C92" i="27"/>
  <c r="D89" i="27"/>
  <c r="C89" i="27"/>
  <c r="D88" i="27"/>
  <c r="C88" i="27"/>
  <c r="D87" i="27"/>
  <c r="C87" i="27"/>
  <c r="D85" i="27"/>
  <c r="C85" i="27"/>
  <c r="D84" i="27"/>
  <c r="C84" i="27"/>
  <c r="D83" i="27"/>
  <c r="C83" i="27"/>
  <c r="D82" i="27"/>
  <c r="C82" i="27"/>
  <c r="D81" i="27"/>
  <c r="C81" i="27"/>
  <c r="D80" i="27"/>
  <c r="C80" i="27"/>
  <c r="D79" i="27"/>
  <c r="C79" i="27"/>
  <c r="D77" i="27"/>
  <c r="C77" i="27"/>
  <c r="D76" i="27"/>
  <c r="C76" i="27"/>
  <c r="D74" i="27"/>
  <c r="C74" i="27"/>
  <c r="D73" i="27"/>
  <c r="C73" i="27"/>
  <c r="D71" i="27"/>
  <c r="C71" i="27"/>
  <c r="D70" i="27"/>
  <c r="C70" i="27"/>
  <c r="D68" i="27"/>
  <c r="C68" i="27"/>
  <c r="D67" i="27"/>
  <c r="C67" i="27"/>
  <c r="D66" i="27"/>
  <c r="C66" i="27"/>
  <c r="D65" i="27"/>
  <c r="C65" i="27"/>
  <c r="D64" i="27"/>
  <c r="C64" i="27"/>
  <c r="D63" i="27"/>
  <c r="C63" i="27"/>
  <c r="D60" i="27"/>
  <c r="C60" i="27"/>
  <c r="D59" i="27"/>
  <c r="C59" i="27"/>
  <c r="D58" i="27"/>
  <c r="C58" i="27"/>
  <c r="D56" i="27"/>
  <c r="C56" i="27"/>
  <c r="D55" i="27"/>
  <c r="C55" i="27"/>
  <c r="D54" i="27"/>
  <c r="C54" i="27"/>
  <c r="D53" i="27"/>
  <c r="C53" i="27"/>
  <c r="D51" i="27"/>
  <c r="C51" i="27"/>
  <c r="D50" i="27"/>
  <c r="C50" i="27"/>
  <c r="D49" i="27"/>
  <c r="C49" i="27"/>
  <c r="D48" i="27"/>
  <c r="C48" i="27"/>
  <c r="D46" i="27"/>
  <c r="C46" i="27"/>
  <c r="D45" i="27"/>
  <c r="C45" i="27"/>
  <c r="D44" i="27"/>
  <c r="C44" i="27"/>
  <c r="D42" i="27"/>
  <c r="C42" i="27"/>
  <c r="D41" i="27"/>
  <c r="C41" i="27"/>
  <c r="D40" i="27"/>
  <c r="C40" i="27"/>
  <c r="D39" i="27"/>
  <c r="C39" i="27"/>
  <c r="D38" i="27"/>
  <c r="C38" i="27"/>
  <c r="D37" i="27"/>
  <c r="C37" i="27"/>
  <c r="D36" i="27"/>
  <c r="C36" i="27"/>
  <c r="D35" i="27"/>
  <c r="C35" i="27"/>
  <c r="D34" i="27"/>
  <c r="C34" i="27"/>
  <c r="D33" i="27"/>
  <c r="C33" i="27"/>
  <c r="D32" i="27"/>
  <c r="C32" i="27"/>
  <c r="C31" i="27"/>
  <c r="C19" i="27"/>
  <c r="D19" i="27"/>
  <c r="C20" i="27"/>
  <c r="D20" i="27"/>
  <c r="C21" i="27"/>
  <c r="D21" i="27"/>
  <c r="C22" i="27"/>
  <c r="D22" i="27"/>
  <c r="C23" i="27"/>
  <c r="D23" i="27"/>
  <c r="C24" i="27"/>
  <c r="D24" i="27"/>
  <c r="C25" i="27"/>
  <c r="D25" i="27"/>
  <c r="C26" i="27"/>
  <c r="D26" i="27"/>
  <c r="C27" i="27"/>
  <c r="D27" i="27"/>
  <c r="C28" i="27"/>
  <c r="D28" i="27"/>
  <c r="C29" i="27"/>
  <c r="D29" i="27"/>
  <c r="C30" i="27"/>
  <c r="D30" i="27"/>
  <c r="D18" i="27"/>
  <c r="C18" i="27"/>
  <c r="H230" i="1" l="1"/>
  <c r="K68" i="27"/>
  <c r="G70" i="1" s="1"/>
  <c r="K244" i="27" l="1"/>
  <c r="G234" i="1" s="1"/>
  <c r="E19" i="28"/>
  <c r="E33" i="28" s="1"/>
  <c r="E19" i="11"/>
  <c r="F116" i="15" l="1"/>
  <c r="K67" i="27"/>
  <c r="G69" i="1" s="1"/>
  <c r="K29" i="27"/>
  <c r="G31" i="1" s="1"/>
  <c r="K30" i="27"/>
  <c r="G32" i="1" s="1"/>
  <c r="K28" i="27"/>
  <c r="G30" i="1" s="1"/>
  <c r="K27" i="27"/>
  <c r="G29" i="1" s="1"/>
  <c r="I103" i="15" l="1"/>
  <c r="F143" i="15" l="1"/>
  <c r="J103" i="15"/>
  <c r="I98" i="15"/>
  <c r="I92" i="15"/>
  <c r="J92" i="15" s="1"/>
  <c r="I93" i="15"/>
  <c r="J93" i="15" s="1"/>
  <c r="J139" i="15"/>
  <c r="G145" i="15" s="1"/>
  <c r="I126" i="15"/>
  <c r="J126" i="15" s="1"/>
  <c r="J129" i="15" s="1"/>
  <c r="G143" i="15" s="1"/>
  <c r="G147" i="15" s="1"/>
  <c r="G148" i="15" s="1"/>
  <c r="H233" i="1"/>
  <c r="G132" i="15"/>
  <c r="I132" i="15" s="1"/>
  <c r="J132" i="15" s="1"/>
  <c r="J134" i="15" s="1"/>
  <c r="G144" i="15" s="1"/>
  <c r="H227" i="1"/>
  <c r="H226" i="1"/>
  <c r="G149" i="15" l="1"/>
  <c r="F150" i="15"/>
  <c r="G294" i="1"/>
  <c r="K123" i="27"/>
  <c r="K122" i="27"/>
  <c r="I11" i="15"/>
  <c r="H14" i="1"/>
  <c r="F109" i="15"/>
  <c r="J98" i="15"/>
  <c r="J100" i="15" s="1"/>
  <c r="G110" i="15" s="1"/>
  <c r="J105" i="15"/>
  <c r="G111" i="15" s="1"/>
  <c r="J95" i="15"/>
  <c r="G109" i="15" s="1"/>
  <c r="I94" i="1" l="1"/>
  <c r="I283" i="1"/>
  <c r="I239" i="1"/>
  <c r="I282" i="1"/>
  <c r="I240" i="1"/>
  <c r="I237" i="1"/>
  <c r="I236" i="1"/>
  <c r="I238" i="1"/>
  <c r="G150" i="15"/>
  <c r="G151" i="15" s="1"/>
  <c r="H258" i="1"/>
  <c r="I26" i="1"/>
  <c r="G113" i="15"/>
  <c r="G114" i="15" s="1"/>
  <c r="G115" i="15" s="1"/>
  <c r="I233" i="1" l="1"/>
  <c r="H234" i="1"/>
  <c r="K273" i="27"/>
  <c r="G263" i="1" s="1"/>
  <c r="K274" i="27"/>
  <c r="G264" i="1" s="1"/>
  <c r="K259" i="27"/>
  <c r="G249" i="1" s="1"/>
  <c r="K260" i="27"/>
  <c r="G250" i="1" s="1"/>
  <c r="K261" i="27"/>
  <c r="G251" i="1" s="1"/>
  <c r="K262" i="27"/>
  <c r="G252" i="1" s="1"/>
  <c r="K263" i="27"/>
  <c r="G253" i="1" s="1"/>
  <c r="K264" i="27"/>
  <c r="G254" i="1" s="1"/>
  <c r="K265" i="27"/>
  <c r="G255" i="1" s="1"/>
  <c r="K266" i="27"/>
  <c r="G256" i="1" s="1"/>
  <c r="K267" i="27"/>
  <c r="G257" i="1" s="1"/>
  <c r="K268" i="27"/>
  <c r="G258" i="1" s="1"/>
  <c r="K269" i="27"/>
  <c r="G259" i="1" s="1"/>
  <c r="K270" i="27"/>
  <c r="G260" i="1" s="1"/>
  <c r="K252" i="27"/>
  <c r="G242" i="1" s="1"/>
  <c r="K251" i="27"/>
  <c r="G241" i="1" s="1"/>
  <c r="K253" i="27"/>
  <c r="G243" i="1" s="1"/>
  <c r="K250" i="27"/>
  <c r="G240" i="1" s="1"/>
  <c r="K249" i="27"/>
  <c r="G239" i="1" s="1"/>
  <c r="K256" i="27"/>
  <c r="G246" i="1" s="1"/>
  <c r="K255" i="27"/>
  <c r="G245" i="1" s="1"/>
  <c r="K254" i="27"/>
  <c r="G244" i="1" s="1"/>
  <c r="K176" i="27" l="1"/>
  <c r="G166" i="1" s="1"/>
  <c r="K129" i="27"/>
  <c r="G119" i="1" s="1"/>
  <c r="K119" i="27"/>
  <c r="K104" i="27"/>
  <c r="K105" i="27"/>
  <c r="K106" i="27"/>
  <c r="K103" i="27"/>
  <c r="K91" i="27"/>
  <c r="K90" i="27"/>
  <c r="K85" i="27"/>
  <c r="G87" i="1" s="1"/>
  <c r="K58" i="27"/>
  <c r="G60" i="1" s="1"/>
  <c r="K243" i="27"/>
  <c r="G233" i="1" s="1"/>
  <c r="K217" i="27"/>
  <c r="G207" i="1" s="1"/>
  <c r="K215" i="27"/>
  <c r="G205" i="1" s="1"/>
  <c r="K216" i="27"/>
  <c r="G206" i="1" s="1"/>
  <c r="K218" i="27"/>
  <c r="G208" i="1" s="1"/>
  <c r="K219" i="27"/>
  <c r="G209" i="1" s="1"/>
  <c r="K220" i="27"/>
  <c r="G210" i="1" s="1"/>
  <c r="K197" i="27"/>
  <c r="G187" i="1" s="1"/>
  <c r="K102" i="27" l="1"/>
  <c r="G102" i="1" s="1"/>
  <c r="K89" i="27"/>
  <c r="G91" i="1" s="1"/>
  <c r="K82" i="27"/>
  <c r="G84" i="1" s="1"/>
  <c r="K84" i="27"/>
  <c r="G86" i="1" s="1"/>
  <c r="K80" i="27"/>
  <c r="G82" i="1" s="1"/>
  <c r="K77" i="27" l="1"/>
  <c r="G79" i="1" s="1"/>
  <c r="K108" i="27"/>
  <c r="G104" i="1" s="1"/>
  <c r="K33" i="27"/>
  <c r="G35" i="1" s="1"/>
  <c r="K34" i="27"/>
  <c r="G36" i="1" s="1"/>
  <c r="K35" i="27"/>
  <c r="G37" i="1" s="1"/>
  <c r="K36" i="27"/>
  <c r="G38" i="1" s="1"/>
  <c r="K37" i="27"/>
  <c r="G39" i="1" s="1"/>
  <c r="K38" i="27"/>
  <c r="G40" i="1" s="1"/>
  <c r="K39" i="27"/>
  <c r="G41" i="1" s="1"/>
  <c r="K40" i="27"/>
  <c r="G42" i="1" s="1"/>
  <c r="K41" i="27"/>
  <c r="G43" i="1" s="1"/>
  <c r="K42" i="27"/>
  <c r="G44" i="1" s="1"/>
  <c r="K19" i="27"/>
  <c r="G21" i="1" s="1"/>
  <c r="K46" i="27"/>
  <c r="G48" i="1" s="1"/>
  <c r="K45" i="27"/>
  <c r="G47" i="1" s="1"/>
  <c r="K143" i="27"/>
  <c r="G133" i="1" s="1"/>
  <c r="K142" i="27"/>
  <c r="G132" i="1" s="1"/>
  <c r="K141" i="27"/>
  <c r="G131" i="1" s="1"/>
  <c r="K140" i="27"/>
  <c r="G130" i="1" s="1"/>
  <c r="K139" i="27"/>
  <c r="G129" i="1" s="1"/>
  <c r="K138" i="27"/>
  <c r="G128" i="1" s="1"/>
  <c r="K295" i="27"/>
  <c r="G286" i="1" s="1"/>
  <c r="K300" i="27"/>
  <c r="G291" i="1" s="1"/>
  <c r="K299" i="27"/>
  <c r="G290" i="1" s="1"/>
  <c r="K297" i="27"/>
  <c r="G288" i="1" s="1"/>
  <c r="K302" i="27"/>
  <c r="G293" i="1" s="1"/>
  <c r="K301" i="27"/>
  <c r="G292" i="1" s="1"/>
  <c r="K298" i="27"/>
  <c r="G289" i="1" s="1"/>
  <c r="K296" i="27"/>
  <c r="G287" i="1" s="1"/>
  <c r="K290" i="27"/>
  <c r="G280" i="1" s="1"/>
  <c r="K293" i="27"/>
  <c r="G283" i="1" s="1"/>
  <c r="K292" i="27"/>
  <c r="G282" i="1" s="1"/>
  <c r="K291" i="27"/>
  <c r="G281" i="1" s="1"/>
  <c r="K288" i="27"/>
  <c r="G278" i="1" s="1"/>
  <c r="K287" i="27"/>
  <c r="G277" i="1" s="1"/>
  <c r="K285" i="27"/>
  <c r="G275" i="1" s="1"/>
  <c r="K284" i="27"/>
  <c r="G274" i="1" s="1"/>
  <c r="K281" i="27"/>
  <c r="G271" i="1" s="1"/>
  <c r="K280" i="27"/>
  <c r="G270" i="1" s="1"/>
  <c r="K279" i="27"/>
  <c r="G269" i="1" s="1"/>
  <c r="K278" i="27"/>
  <c r="G268" i="1" s="1"/>
  <c r="K277" i="27"/>
  <c r="G267" i="1" s="1"/>
  <c r="K276" i="27"/>
  <c r="G266" i="1" s="1"/>
  <c r="K275" i="27"/>
  <c r="G265" i="1" s="1"/>
  <c r="K272" i="27"/>
  <c r="G262" i="1" s="1"/>
  <c r="K258" i="27"/>
  <c r="G248" i="1" s="1"/>
  <c r="K248" i="27"/>
  <c r="G238" i="1" s="1"/>
  <c r="K247" i="27"/>
  <c r="G237" i="1" s="1"/>
  <c r="K246" i="27"/>
  <c r="G236" i="1" s="1"/>
  <c r="K241" i="27"/>
  <c r="G231" i="1" s="1"/>
  <c r="K240" i="27"/>
  <c r="G230" i="1" s="1"/>
  <c r="K239" i="27"/>
  <c r="G229" i="1" s="1"/>
  <c r="K238" i="27"/>
  <c r="G228" i="1" s="1"/>
  <c r="K237" i="27"/>
  <c r="G227" i="1" s="1"/>
  <c r="K236" i="27"/>
  <c r="G226" i="1" s="1"/>
  <c r="K235" i="27"/>
  <c r="G225" i="1" s="1"/>
  <c r="K234" i="27"/>
  <c r="G224" i="1" s="1"/>
  <c r="K232" i="27"/>
  <c r="G222" i="1" s="1"/>
  <c r="K231" i="27"/>
  <c r="G221" i="1" s="1"/>
  <c r="K229" i="27"/>
  <c r="G219" i="1" s="1"/>
  <c r="K228" i="27"/>
  <c r="G218" i="1" s="1"/>
  <c r="K227" i="27"/>
  <c r="G217" i="1" s="1"/>
  <c r="K226" i="27"/>
  <c r="G216" i="1" s="1"/>
  <c r="K225" i="27"/>
  <c r="G215" i="1" s="1"/>
  <c r="K224" i="27"/>
  <c r="G214" i="1" s="1"/>
  <c r="K223" i="27"/>
  <c r="G213" i="1" s="1"/>
  <c r="K222" i="27"/>
  <c r="G212" i="1" s="1"/>
  <c r="K210" i="27"/>
  <c r="G200" i="1" s="1"/>
  <c r="K211" i="27"/>
  <c r="G201" i="1" s="1"/>
  <c r="K209" i="27"/>
  <c r="G199" i="1" s="1"/>
  <c r="K214" i="27"/>
  <c r="G204" i="1" s="1"/>
  <c r="K213" i="27"/>
  <c r="G203" i="1" s="1"/>
  <c r="K212" i="27"/>
  <c r="G202" i="1" s="1"/>
  <c r="K207" i="27"/>
  <c r="G197" i="1" s="1"/>
  <c r="K206" i="27"/>
  <c r="G196" i="1" s="1"/>
  <c r="K205" i="27"/>
  <c r="G195" i="1" s="1"/>
  <c r="K204" i="27"/>
  <c r="G194" i="1" s="1"/>
  <c r="K203" i="27"/>
  <c r="G193" i="1" s="1"/>
  <c r="K202" i="27"/>
  <c r="G192" i="1" s="1"/>
  <c r="K201" i="27"/>
  <c r="G191" i="1" s="1"/>
  <c r="K200" i="27"/>
  <c r="G190" i="1" s="1"/>
  <c r="K199" i="27"/>
  <c r="G189" i="1" s="1"/>
  <c r="K196" i="27"/>
  <c r="G186" i="1" s="1"/>
  <c r="K195" i="27"/>
  <c r="G185" i="1" s="1"/>
  <c r="K194" i="27"/>
  <c r="G184" i="1" s="1"/>
  <c r="K187" i="27"/>
  <c r="G177" i="1" s="1"/>
  <c r="K191" i="27"/>
  <c r="G181" i="1" s="1"/>
  <c r="K190" i="27"/>
  <c r="G180" i="1" s="1"/>
  <c r="K189" i="27"/>
  <c r="G179" i="1" s="1"/>
  <c r="K188" i="27"/>
  <c r="G178" i="1" s="1"/>
  <c r="K186" i="27"/>
  <c r="G176" i="1" s="1"/>
  <c r="K185" i="27"/>
  <c r="G175" i="1" s="1"/>
  <c r="K184" i="27"/>
  <c r="G174" i="1" s="1"/>
  <c r="K183" i="27"/>
  <c r="G173" i="1" s="1"/>
  <c r="K182" i="27"/>
  <c r="G172" i="1" s="1"/>
  <c r="K178" i="27"/>
  <c r="G168" i="1" s="1"/>
  <c r="K179" i="27"/>
  <c r="G169" i="1" s="1"/>
  <c r="K180" i="27"/>
  <c r="G170" i="1" s="1"/>
  <c r="K159" i="27"/>
  <c r="G149" i="1" s="1"/>
  <c r="K160" i="27"/>
  <c r="G150" i="1" s="1"/>
  <c r="K161" i="27"/>
  <c r="G151" i="1" s="1"/>
  <c r="K162" i="27"/>
  <c r="G152" i="1" s="1"/>
  <c r="K163" i="27"/>
  <c r="G153" i="1" s="1"/>
  <c r="K164" i="27"/>
  <c r="G154" i="1" s="1"/>
  <c r="K165" i="27"/>
  <c r="G155" i="1" s="1"/>
  <c r="K166" i="27"/>
  <c r="G156" i="1" s="1"/>
  <c r="K167" i="27"/>
  <c r="G157" i="1" s="1"/>
  <c r="K168" i="27"/>
  <c r="G158" i="1" s="1"/>
  <c r="K169" i="27"/>
  <c r="G159" i="1" s="1"/>
  <c r="K170" i="27"/>
  <c r="G160" i="1" s="1"/>
  <c r="K171" i="27"/>
  <c r="G161" i="1" s="1"/>
  <c r="K172" i="27"/>
  <c r="G162" i="1" s="1"/>
  <c r="K173" i="27"/>
  <c r="G163" i="1" s="1"/>
  <c r="K174" i="27"/>
  <c r="G164" i="1" s="1"/>
  <c r="K175" i="27"/>
  <c r="G165" i="1" s="1"/>
  <c r="K158" i="27"/>
  <c r="G148" i="1" s="1"/>
  <c r="K150" i="27"/>
  <c r="G140" i="1" s="1"/>
  <c r="K151" i="27"/>
  <c r="G141" i="1" s="1"/>
  <c r="K152" i="27"/>
  <c r="G142" i="1" s="1"/>
  <c r="K153" i="27"/>
  <c r="G143" i="1" s="1"/>
  <c r="K149" i="27"/>
  <c r="G139" i="1" s="1"/>
  <c r="K154" i="27"/>
  <c r="G144" i="1" s="1"/>
  <c r="K155" i="27"/>
  <c r="G145" i="1" s="1"/>
  <c r="K156" i="27"/>
  <c r="G146" i="1" s="1"/>
  <c r="K145" i="27"/>
  <c r="G135" i="1" s="1"/>
  <c r="K127" i="27"/>
  <c r="G117" i="1" s="1"/>
  <c r="K128" i="27"/>
  <c r="G118" i="1" s="1"/>
  <c r="K130" i="27"/>
  <c r="G120" i="1" s="1"/>
  <c r="K126" i="27"/>
  <c r="G116" i="1" s="1"/>
  <c r="K146" i="27"/>
  <c r="G136" i="1" s="1"/>
  <c r="K147" i="27"/>
  <c r="G137" i="1" s="1"/>
  <c r="K133" i="27"/>
  <c r="G123" i="1" s="1"/>
  <c r="K134" i="27"/>
  <c r="G124" i="1" s="1"/>
  <c r="K135" i="27"/>
  <c r="G125" i="1" s="1"/>
  <c r="K136" i="27"/>
  <c r="G126" i="1" s="1"/>
  <c r="K132" i="27"/>
  <c r="G122" i="1" s="1"/>
  <c r="K118" i="27"/>
  <c r="K120" i="27"/>
  <c r="K117" i="27"/>
  <c r="K110" i="27"/>
  <c r="G106" i="1" s="1"/>
  <c r="K111" i="27"/>
  <c r="G107" i="1" s="1"/>
  <c r="K112" i="27"/>
  <c r="G108" i="1" s="1"/>
  <c r="K107" i="27"/>
  <c r="G103" i="1" s="1"/>
  <c r="K99" i="27"/>
  <c r="G99" i="1" s="1"/>
  <c r="K100" i="27"/>
  <c r="G100" i="1" s="1"/>
  <c r="K101" i="27"/>
  <c r="G101" i="1" s="1"/>
  <c r="K94" i="27"/>
  <c r="G94" i="1" s="1"/>
  <c r="K93" i="27"/>
  <c r="G93" i="1" s="1"/>
  <c r="K92" i="27"/>
  <c r="G92" i="1" s="1"/>
  <c r="K81" i="27"/>
  <c r="G83" i="1" s="1"/>
  <c r="K83" i="27"/>
  <c r="G85" i="1" s="1"/>
  <c r="K79" i="27"/>
  <c r="G81" i="1" s="1"/>
  <c r="K76" i="27"/>
  <c r="G78" i="1" s="1"/>
  <c r="K74" i="27"/>
  <c r="G76" i="1" s="1"/>
  <c r="K73" i="27"/>
  <c r="G75" i="1" s="1"/>
  <c r="K71" i="27"/>
  <c r="G73" i="1" s="1"/>
  <c r="K70" i="27"/>
  <c r="G72" i="1" s="1"/>
  <c r="K64" i="27"/>
  <c r="G66" i="1" s="1"/>
  <c r="K65" i="27"/>
  <c r="G67" i="1" s="1"/>
  <c r="K66" i="27"/>
  <c r="G68" i="1" s="1"/>
  <c r="K63" i="27"/>
  <c r="G65" i="1" s="1"/>
  <c r="K60" i="27"/>
  <c r="G62" i="1" s="1"/>
  <c r="K59" i="27"/>
  <c r="G61" i="1" s="1"/>
  <c r="K54" i="27"/>
  <c r="G56" i="1" s="1"/>
  <c r="K55" i="27"/>
  <c r="G57" i="1" s="1"/>
  <c r="K56" i="27"/>
  <c r="G58" i="1" s="1"/>
  <c r="K53" i="27"/>
  <c r="G55" i="1" s="1"/>
  <c r="K49" i="27"/>
  <c r="G51" i="1" s="1"/>
  <c r="K50" i="27"/>
  <c r="G52" i="1" s="1"/>
  <c r="K51" i="27"/>
  <c r="G53" i="1" s="1"/>
  <c r="K48" i="27"/>
  <c r="G50" i="1" s="1"/>
  <c r="K44" i="27"/>
  <c r="G46" i="1" s="1"/>
  <c r="E98" i="27" l="1"/>
  <c r="E97" i="27" s="1"/>
  <c r="K97" i="27" s="1"/>
  <c r="G97" i="1" s="1"/>
  <c r="E88" i="27"/>
  <c r="K88" i="27" s="1"/>
  <c r="G90" i="1" s="1"/>
  <c r="K121" i="27"/>
  <c r="G113" i="1" s="1"/>
  <c r="K116" i="27"/>
  <c r="G112" i="1" s="1"/>
  <c r="K21" i="27"/>
  <c r="G23" i="1" s="1"/>
  <c r="K22" i="27"/>
  <c r="G24" i="1" s="1"/>
  <c r="K23" i="27"/>
  <c r="G25" i="1" s="1"/>
  <c r="K24" i="27"/>
  <c r="G26" i="1" s="1"/>
  <c r="K25" i="27"/>
  <c r="G27" i="1" s="1"/>
  <c r="K26" i="27"/>
  <c r="G28" i="1" s="1"/>
  <c r="K18" i="27"/>
  <c r="G20" i="1" s="1"/>
  <c r="K20" i="27"/>
  <c r="G22" i="1" s="1"/>
  <c r="K98" i="27" l="1"/>
  <c r="G98" i="1" s="1"/>
  <c r="C58" i="9"/>
  <c r="C56" i="9"/>
  <c r="C54" i="9"/>
  <c r="C52" i="9"/>
  <c r="C50" i="9"/>
  <c r="C48" i="9"/>
  <c r="C46" i="9"/>
  <c r="C44" i="9"/>
  <c r="C42" i="9"/>
  <c r="C40" i="9"/>
  <c r="C38" i="9"/>
  <c r="C36" i="9"/>
  <c r="C34" i="9"/>
  <c r="C32" i="9"/>
  <c r="C30" i="9"/>
  <c r="C28" i="9"/>
  <c r="C26" i="9"/>
  <c r="C24" i="9"/>
  <c r="C22" i="9"/>
  <c r="C20" i="9"/>
  <c r="C18" i="9"/>
  <c r="C16" i="9"/>
  <c r="S50" i="9"/>
  <c r="S48" i="9"/>
  <c r="S46" i="9"/>
  <c r="S44" i="9"/>
  <c r="S54" i="9"/>
  <c r="S52" i="9"/>
  <c r="S42" i="9"/>
  <c r="S40" i="9"/>
  <c r="S38" i="9"/>
  <c r="S36" i="9"/>
  <c r="S34" i="9"/>
  <c r="S32" i="9"/>
  <c r="I227" i="1"/>
  <c r="I226" i="1"/>
  <c r="I65" i="15"/>
  <c r="J65" i="15" s="1"/>
  <c r="I29" i="15"/>
  <c r="J29" i="15" s="1"/>
  <c r="I30" i="15"/>
  <c r="J30" i="15" s="1"/>
  <c r="I31" i="15"/>
  <c r="I32" i="15"/>
  <c r="S58" i="9" l="1"/>
  <c r="S56" i="9"/>
  <c r="S30" i="9"/>
  <c r="S28" i="9"/>
  <c r="S26" i="9"/>
  <c r="S24" i="9"/>
  <c r="S22" i="9"/>
  <c r="S20" i="9"/>
  <c r="S18" i="9"/>
  <c r="S16" i="9"/>
  <c r="F75" i="15" l="1"/>
  <c r="J71" i="15"/>
  <c r="G77" i="15" s="1"/>
  <c r="I66" i="15"/>
  <c r="J66" i="15" s="1"/>
  <c r="J67" i="15" s="1"/>
  <c r="I60" i="15"/>
  <c r="J60" i="15" s="1"/>
  <c r="I59" i="15"/>
  <c r="J59" i="15" s="1"/>
  <c r="I22" i="15"/>
  <c r="I21" i="15"/>
  <c r="J32" i="15"/>
  <c r="J62" i="15" l="1"/>
  <c r="G75" i="15" s="1"/>
  <c r="G79" i="15" s="1"/>
  <c r="G80" i="15" s="1"/>
  <c r="G76" i="15"/>
  <c r="G81" i="15" l="1"/>
  <c r="J11" i="15" l="1"/>
  <c r="G116" i="15" s="1"/>
  <c r="G117" i="15" l="1"/>
  <c r="F48" i="15"/>
  <c r="F82" i="15"/>
  <c r="G82" i="15" s="1"/>
  <c r="G83" i="15" s="1"/>
  <c r="J31" i="15" l="1"/>
  <c r="J22" i="15"/>
  <c r="J21" i="15"/>
  <c r="I27" i="15"/>
  <c r="J27" i="15" s="1"/>
  <c r="F41" i="15"/>
  <c r="J37" i="15"/>
  <c r="G43" i="15" s="1"/>
  <c r="I28" i="15"/>
  <c r="J28" i="15" s="1"/>
  <c r="J24" i="15" l="1"/>
  <c r="G41" i="15" s="1"/>
  <c r="G45" i="15" s="1"/>
  <c r="G46" i="15" s="1"/>
  <c r="J33" i="15"/>
  <c r="G42" i="15" s="1"/>
  <c r="G14" i="1"/>
  <c r="I295" i="1" l="1"/>
  <c r="J295" i="1" s="1"/>
  <c r="I294" i="1"/>
  <c r="J294" i="1" s="1"/>
  <c r="I292" i="1"/>
  <c r="I133" i="1"/>
  <c r="I234" i="1"/>
  <c r="J234" i="1" s="1"/>
  <c r="I230" i="1"/>
  <c r="J230" i="1" s="1"/>
  <c r="I30" i="1"/>
  <c r="J30" i="1" s="1"/>
  <c r="I69" i="1"/>
  <c r="J69" i="1" s="1"/>
  <c r="I70" i="1"/>
  <c r="J70" i="1" s="1"/>
  <c r="I29" i="1"/>
  <c r="J29" i="1" s="1"/>
  <c r="I31" i="1"/>
  <c r="J31" i="1" s="1"/>
  <c r="I32" i="1"/>
  <c r="J32" i="1" s="1"/>
  <c r="I244" i="1"/>
  <c r="J244" i="1" s="1"/>
  <c r="I241" i="1"/>
  <c r="J241" i="1" s="1"/>
  <c r="I245" i="1"/>
  <c r="J245" i="1" s="1"/>
  <c r="I242" i="1"/>
  <c r="J242" i="1" s="1"/>
  <c r="I246" i="1"/>
  <c r="J246" i="1" s="1"/>
  <c r="I243" i="1"/>
  <c r="J243" i="1" s="1"/>
  <c r="I119" i="1"/>
  <c r="J119" i="1" s="1"/>
  <c r="I61" i="1"/>
  <c r="J61" i="1" s="1"/>
  <c r="I87" i="1"/>
  <c r="J87" i="1" s="1"/>
  <c r="J240" i="1"/>
  <c r="J239" i="1"/>
  <c r="J233" i="1"/>
  <c r="I187" i="1"/>
  <c r="J187" i="1" s="1"/>
  <c r="I206" i="1"/>
  <c r="J206" i="1" s="1"/>
  <c r="I207" i="1"/>
  <c r="J207" i="1" s="1"/>
  <c r="I208" i="1"/>
  <c r="J208" i="1" s="1"/>
  <c r="I209" i="1"/>
  <c r="J209" i="1" s="1"/>
  <c r="I205" i="1"/>
  <c r="J205" i="1" s="1"/>
  <c r="I84" i="1"/>
  <c r="J84" i="1" s="1"/>
  <c r="I86" i="1"/>
  <c r="J86" i="1" s="1"/>
  <c r="I166" i="1"/>
  <c r="J166" i="1" s="1"/>
  <c r="I82" i="1"/>
  <c r="J82" i="1" s="1"/>
  <c r="I104" i="1"/>
  <c r="J104" i="1" s="1"/>
  <c r="I78" i="1"/>
  <c r="J78" i="1" s="1"/>
  <c r="I42" i="1"/>
  <c r="J42" i="1" s="1"/>
  <c r="I43" i="1"/>
  <c r="J43" i="1" s="1"/>
  <c r="I44" i="1"/>
  <c r="J44" i="1" s="1"/>
  <c r="I41" i="1"/>
  <c r="J41" i="1" s="1"/>
  <c r="I40" i="1"/>
  <c r="J40" i="1" s="1"/>
  <c r="I39" i="1"/>
  <c r="J39" i="1" s="1"/>
  <c r="I38" i="1"/>
  <c r="J38" i="1" s="1"/>
  <c r="I37" i="1"/>
  <c r="J37" i="1" s="1"/>
  <c r="I36" i="1"/>
  <c r="J36" i="1" s="1"/>
  <c r="I21" i="1"/>
  <c r="J21" i="1" s="1"/>
  <c r="I34" i="1"/>
  <c r="I35" i="1"/>
  <c r="J35" i="1" s="1"/>
  <c r="I48" i="1"/>
  <c r="J48" i="1" s="1"/>
  <c r="I47" i="1"/>
  <c r="J47" i="1" s="1"/>
  <c r="J133" i="1"/>
  <c r="I131" i="1"/>
  <c r="J131" i="1" s="1"/>
  <c r="I132" i="1"/>
  <c r="J132" i="1" s="1"/>
  <c r="I129" i="1"/>
  <c r="J129" i="1" s="1"/>
  <c r="I130" i="1"/>
  <c r="J130" i="1" s="1"/>
  <c r="I128" i="1"/>
  <c r="J128" i="1" s="1"/>
  <c r="J292" i="1"/>
  <c r="I291" i="1"/>
  <c r="J291" i="1" s="1"/>
  <c r="I290" i="1"/>
  <c r="J290" i="1" s="1"/>
  <c r="I287" i="1"/>
  <c r="J287" i="1" s="1"/>
  <c r="I289" i="1"/>
  <c r="J289" i="1" s="1"/>
  <c r="I123" i="1"/>
  <c r="J123" i="1" s="1"/>
  <c r="I288" i="1"/>
  <c r="J288" i="1" s="1"/>
  <c r="I124" i="1"/>
  <c r="J124" i="1" s="1"/>
  <c r="I102" i="1"/>
  <c r="J102" i="1" s="1"/>
  <c r="I103" i="1"/>
  <c r="J103" i="1" s="1"/>
  <c r="I293" i="1"/>
  <c r="J293" i="1" s="1"/>
  <c r="I286" i="1"/>
  <c r="J286" i="1" s="1"/>
  <c r="I181" i="1"/>
  <c r="J181" i="1" s="1"/>
  <c r="I178" i="1"/>
  <c r="J178" i="1" s="1"/>
  <c r="I180" i="1"/>
  <c r="J180" i="1" s="1"/>
  <c r="I177" i="1"/>
  <c r="J177" i="1" s="1"/>
  <c r="I179" i="1"/>
  <c r="J179" i="1" s="1"/>
  <c r="I176" i="1"/>
  <c r="J176" i="1" s="1"/>
  <c r="I175" i="1"/>
  <c r="J175" i="1" s="1"/>
  <c r="I281" i="1"/>
  <c r="J281" i="1" s="1"/>
  <c r="I280" i="1"/>
  <c r="J280" i="1" s="1"/>
  <c r="I145" i="1"/>
  <c r="J145" i="1" s="1"/>
  <c r="I277" i="1"/>
  <c r="J277" i="1" s="1"/>
  <c r="I278" i="1"/>
  <c r="J278" i="1" s="1"/>
  <c r="I125" i="1"/>
  <c r="J125" i="1" s="1"/>
  <c r="I143" i="1"/>
  <c r="J143" i="1" s="1"/>
  <c r="I141" i="1"/>
  <c r="J141" i="1" s="1"/>
  <c r="J227" i="1"/>
  <c r="I225" i="1"/>
  <c r="J225" i="1" s="1"/>
  <c r="J226" i="1"/>
  <c r="I229" i="1"/>
  <c r="J229" i="1" s="1"/>
  <c r="I217" i="1"/>
  <c r="J217" i="1" s="1"/>
  <c r="I231" i="1"/>
  <c r="J231" i="1" s="1"/>
  <c r="I228" i="1"/>
  <c r="J228" i="1" s="1"/>
  <c r="I224" i="1"/>
  <c r="J224" i="1" s="1"/>
  <c r="I202" i="1"/>
  <c r="J202" i="1" s="1"/>
  <c r="I213" i="1"/>
  <c r="J213" i="1" s="1"/>
  <c r="I216" i="1"/>
  <c r="J216" i="1" s="1"/>
  <c r="I214" i="1"/>
  <c r="J214" i="1" s="1"/>
  <c r="I215" i="1"/>
  <c r="J215" i="1" s="1"/>
  <c r="I192" i="1"/>
  <c r="J192" i="1" s="1"/>
  <c r="I204" i="1"/>
  <c r="J204" i="1" s="1"/>
  <c r="I210" i="1"/>
  <c r="J210" i="1" s="1"/>
  <c r="I203" i="1"/>
  <c r="J203" i="1" s="1"/>
  <c r="I197" i="1"/>
  <c r="J197" i="1" s="1"/>
  <c r="I195" i="1"/>
  <c r="J195" i="1" s="1"/>
  <c r="I196" i="1"/>
  <c r="J196" i="1" s="1"/>
  <c r="I274" i="1"/>
  <c r="J274" i="1" s="1"/>
  <c r="I275" i="1"/>
  <c r="J275" i="1" s="1"/>
  <c r="I151" i="1"/>
  <c r="J151" i="1" s="1"/>
  <c r="I162" i="1"/>
  <c r="J162" i="1" s="1"/>
  <c r="I165" i="1"/>
  <c r="J165" i="1" s="1"/>
  <c r="I164" i="1"/>
  <c r="J164" i="1" s="1"/>
  <c r="I161" i="1"/>
  <c r="J161" i="1" s="1"/>
  <c r="I159" i="1"/>
  <c r="J159" i="1" s="1"/>
  <c r="I163" i="1"/>
  <c r="J163" i="1" s="1"/>
  <c r="I160" i="1"/>
  <c r="J160" i="1" s="1"/>
  <c r="I158" i="1"/>
  <c r="J158" i="1" s="1"/>
  <c r="I156" i="1"/>
  <c r="J156" i="1" s="1"/>
  <c r="I157" i="1"/>
  <c r="J157" i="1" s="1"/>
  <c r="I155" i="1"/>
  <c r="J155" i="1" s="1"/>
  <c r="I91" i="1"/>
  <c r="I154" i="1"/>
  <c r="J154" i="1" s="1"/>
  <c r="I152" i="1"/>
  <c r="J152" i="1" s="1"/>
  <c r="I153" i="1"/>
  <c r="J153" i="1" s="1"/>
  <c r="I270" i="1"/>
  <c r="J270" i="1" s="1"/>
  <c r="I271" i="1"/>
  <c r="J271" i="1" s="1"/>
  <c r="I269" i="1"/>
  <c r="J269" i="1" s="1"/>
  <c r="I267" i="1"/>
  <c r="J267" i="1" s="1"/>
  <c r="I268" i="1"/>
  <c r="J268" i="1" s="1"/>
  <c r="I266" i="1"/>
  <c r="J266" i="1" s="1"/>
  <c r="I259" i="1"/>
  <c r="J259" i="1" s="1"/>
  <c r="I260" i="1"/>
  <c r="J260" i="1" s="1"/>
  <c r="I258" i="1"/>
  <c r="J258" i="1" s="1"/>
  <c r="I257" i="1"/>
  <c r="J257" i="1" s="1"/>
  <c r="I256" i="1"/>
  <c r="J256" i="1" s="1"/>
  <c r="I254" i="1"/>
  <c r="J254" i="1" s="1"/>
  <c r="I255" i="1"/>
  <c r="J255" i="1" s="1"/>
  <c r="I253" i="1"/>
  <c r="J253" i="1" s="1"/>
  <c r="I250" i="1"/>
  <c r="J250" i="1" s="1"/>
  <c r="I251" i="1"/>
  <c r="J251" i="1" s="1"/>
  <c r="I249" i="1"/>
  <c r="J249" i="1" s="1"/>
  <c r="I252" i="1"/>
  <c r="J252" i="1" s="1"/>
  <c r="I248" i="1"/>
  <c r="J248" i="1" s="1"/>
  <c r="I174" i="1"/>
  <c r="J174" i="1" s="1"/>
  <c r="I172" i="1"/>
  <c r="J172" i="1" s="1"/>
  <c r="I173" i="1"/>
  <c r="J173" i="1" s="1"/>
  <c r="I168" i="1"/>
  <c r="J168" i="1" s="1"/>
  <c r="J167" i="1" s="1"/>
  <c r="I169" i="1"/>
  <c r="J169" i="1" s="1"/>
  <c r="I170" i="1"/>
  <c r="J170" i="1" s="1"/>
  <c r="I149" i="1"/>
  <c r="J149" i="1" s="1"/>
  <c r="I150" i="1"/>
  <c r="J150" i="1" s="1"/>
  <c r="I148" i="1"/>
  <c r="J148" i="1" s="1"/>
  <c r="I142" i="1"/>
  <c r="J142" i="1" s="1"/>
  <c r="I144" i="1"/>
  <c r="J144" i="1" s="1"/>
  <c r="I146" i="1"/>
  <c r="J146" i="1" s="1"/>
  <c r="I140" i="1"/>
  <c r="J140" i="1" s="1"/>
  <c r="I139" i="1"/>
  <c r="J139" i="1" s="1"/>
  <c r="I137" i="1"/>
  <c r="J137" i="1" s="1"/>
  <c r="I135" i="1"/>
  <c r="J135" i="1" s="1"/>
  <c r="I136" i="1"/>
  <c r="J136" i="1" s="1"/>
  <c r="I120" i="1"/>
  <c r="J120" i="1" s="1"/>
  <c r="I117" i="1"/>
  <c r="J117" i="1" s="1"/>
  <c r="I118" i="1"/>
  <c r="J118" i="1" s="1"/>
  <c r="I116" i="1"/>
  <c r="J116" i="1" s="1"/>
  <c r="I126" i="1"/>
  <c r="J126" i="1" s="1"/>
  <c r="I122" i="1"/>
  <c r="J122" i="1" s="1"/>
  <c r="I113" i="1"/>
  <c r="J113" i="1" s="1"/>
  <c r="I111" i="1"/>
  <c r="I112" i="1"/>
  <c r="J112" i="1" s="1"/>
  <c r="I110" i="1"/>
  <c r="I108" i="1"/>
  <c r="J108" i="1" s="1"/>
  <c r="I101" i="1"/>
  <c r="J101" i="1" s="1"/>
  <c r="I107" i="1"/>
  <c r="J107" i="1" s="1"/>
  <c r="I99" i="1"/>
  <c r="J99" i="1" s="1"/>
  <c r="I97" i="1"/>
  <c r="J97" i="1" s="1"/>
  <c r="I106" i="1"/>
  <c r="J106" i="1" s="1"/>
  <c r="I100" i="1"/>
  <c r="J100" i="1" s="1"/>
  <c r="I98" i="1"/>
  <c r="J98" i="1" s="1"/>
  <c r="I93" i="1"/>
  <c r="J93" i="1" s="1"/>
  <c r="J94" i="1"/>
  <c r="I92" i="1"/>
  <c r="J92" i="1" s="1"/>
  <c r="I89" i="1"/>
  <c r="I90" i="1"/>
  <c r="J90" i="1" s="1"/>
  <c r="I85" i="1"/>
  <c r="J85" i="1" s="1"/>
  <c r="I81" i="1"/>
  <c r="J81" i="1" s="1"/>
  <c r="I83" i="1"/>
  <c r="J83" i="1" s="1"/>
  <c r="I79" i="1"/>
  <c r="J79" i="1" s="1"/>
  <c r="I76" i="1"/>
  <c r="J76" i="1" s="1"/>
  <c r="I75" i="1"/>
  <c r="J75" i="1" s="1"/>
  <c r="I67" i="1"/>
  <c r="J67" i="1" s="1"/>
  <c r="I73" i="1"/>
  <c r="J73" i="1" s="1"/>
  <c r="I66" i="1"/>
  <c r="J66" i="1" s="1"/>
  <c r="I65" i="1"/>
  <c r="J65" i="1" s="1"/>
  <c r="I72" i="1"/>
  <c r="J72" i="1" s="1"/>
  <c r="I68" i="1"/>
  <c r="J68" i="1" s="1"/>
  <c r="I62" i="1"/>
  <c r="J62" i="1" s="1"/>
  <c r="I60" i="1"/>
  <c r="J60" i="1" s="1"/>
  <c r="I53" i="1"/>
  <c r="J53" i="1" s="1"/>
  <c r="I27" i="1"/>
  <c r="J27" i="1" s="1"/>
  <c r="I28" i="1"/>
  <c r="J28" i="1" s="1"/>
  <c r="G47" i="15"/>
  <c r="I212" i="1"/>
  <c r="J212" i="1" s="1"/>
  <c r="I190" i="1"/>
  <c r="J190" i="1" s="1"/>
  <c r="I189" i="1"/>
  <c r="J189" i="1" s="1"/>
  <c r="I199" i="1"/>
  <c r="J199" i="1" s="1"/>
  <c r="I201" i="1"/>
  <c r="J201" i="1" s="1"/>
  <c r="I191" i="1"/>
  <c r="J191" i="1" s="1"/>
  <c r="I185" i="1"/>
  <c r="J185" i="1" s="1"/>
  <c r="I184" i="1"/>
  <c r="J184" i="1" s="1"/>
  <c r="I222" i="1"/>
  <c r="J222" i="1" s="1"/>
  <c r="I219" i="1"/>
  <c r="J219" i="1" s="1"/>
  <c r="I200" i="1"/>
  <c r="J200" i="1" s="1"/>
  <c r="I193" i="1"/>
  <c r="J193" i="1" s="1"/>
  <c r="I218" i="1"/>
  <c r="J218" i="1" s="1"/>
  <c r="I194" i="1"/>
  <c r="J194" i="1" s="1"/>
  <c r="I58" i="1"/>
  <c r="J58" i="1" s="1"/>
  <c r="I51" i="1"/>
  <c r="J51" i="1" s="1"/>
  <c r="I52" i="1"/>
  <c r="J52" i="1" s="1"/>
  <c r="I57" i="1"/>
  <c r="J57" i="1" s="1"/>
  <c r="I56" i="1"/>
  <c r="J56" i="1" s="1"/>
  <c r="I46" i="1"/>
  <c r="J46" i="1" s="1"/>
  <c r="J45" i="1" s="1"/>
  <c r="I25" i="1"/>
  <c r="J25" i="1" s="1"/>
  <c r="J283" i="1"/>
  <c r="J236" i="1"/>
  <c r="I263" i="1"/>
  <c r="J263" i="1" s="1"/>
  <c r="J237" i="1"/>
  <c r="I22" i="1"/>
  <c r="J22" i="1" s="1"/>
  <c r="I23" i="1"/>
  <c r="J23" i="1" s="1"/>
  <c r="I264" i="1"/>
  <c r="J264" i="1" s="1"/>
  <c r="J238" i="1"/>
  <c r="I24" i="1"/>
  <c r="J24" i="1" s="1"/>
  <c r="J282" i="1"/>
  <c r="I265" i="1"/>
  <c r="J265" i="1" s="1"/>
  <c r="J26" i="1"/>
  <c r="I262" i="1"/>
  <c r="J262" i="1" s="1"/>
  <c r="I20" i="1"/>
  <c r="J20" i="1" s="1"/>
  <c r="I55" i="1"/>
  <c r="J55" i="1" s="1"/>
  <c r="I50" i="1"/>
  <c r="J50" i="1" s="1"/>
  <c r="J71" i="1" l="1"/>
  <c r="J211" i="1"/>
  <c r="J276" i="1"/>
  <c r="J171" i="1"/>
  <c r="J147" i="1"/>
  <c r="D42" i="9" s="1"/>
  <c r="J134" i="1"/>
  <c r="J138" i="1"/>
  <c r="J105" i="1"/>
  <c r="J121" i="1"/>
  <c r="J127" i="1"/>
  <c r="J115" i="1"/>
  <c r="J74" i="1"/>
  <c r="J96" i="1"/>
  <c r="J80" i="1"/>
  <c r="D28" i="9" s="1"/>
  <c r="I29" i="9" s="1"/>
  <c r="J77" i="1"/>
  <c r="J64" i="1"/>
  <c r="J59" i="1"/>
  <c r="D24" i="9" s="1"/>
  <c r="J54" i="1"/>
  <c r="D22" i="9" s="1"/>
  <c r="D44" i="9"/>
  <c r="R45" i="9" s="1"/>
  <c r="S45" i="9" s="1"/>
  <c r="J49" i="1"/>
  <c r="D20" i="9" s="1"/>
  <c r="J19" i="1"/>
  <c r="D46" i="9"/>
  <c r="J188" i="1"/>
  <c r="J198" i="1"/>
  <c r="J232" i="1"/>
  <c r="J223" i="1"/>
  <c r="J235" i="1"/>
  <c r="J247" i="1"/>
  <c r="D52" i="9" s="1"/>
  <c r="R53" i="9" s="1"/>
  <c r="S53" i="9" s="1"/>
  <c r="J261" i="1"/>
  <c r="D54" i="9" s="1"/>
  <c r="J273" i="1"/>
  <c r="J279" i="1"/>
  <c r="J285" i="1"/>
  <c r="D58" i="9" s="1"/>
  <c r="I221" i="1"/>
  <c r="J221" i="1" s="1"/>
  <c r="J220" i="1" s="1"/>
  <c r="H186" i="1"/>
  <c r="I186" i="1" s="1"/>
  <c r="J186" i="1" s="1"/>
  <c r="J183" i="1" s="1"/>
  <c r="J182" i="1" s="1"/>
  <c r="D40" i="9"/>
  <c r="D38" i="9"/>
  <c r="G48" i="15"/>
  <c r="G49" i="15" s="1"/>
  <c r="J95" i="1" l="1"/>
  <c r="J114" i="1"/>
  <c r="D36" i="9" s="1"/>
  <c r="D48" i="9"/>
  <c r="J63" i="1"/>
  <c r="J272" i="1"/>
  <c r="D56" i="9" s="1"/>
  <c r="L39" i="9"/>
  <c r="M39" i="9"/>
  <c r="N39" i="9"/>
  <c r="P43" i="9"/>
  <c r="Q43" i="9"/>
  <c r="G21" i="9"/>
  <c r="F21" i="9"/>
  <c r="G23" i="9"/>
  <c r="H23" i="9"/>
  <c r="L41" i="9"/>
  <c r="O41" i="9"/>
  <c r="N41" i="9"/>
  <c r="M41" i="9"/>
  <c r="O59" i="9"/>
  <c r="N59" i="9"/>
  <c r="Q59" i="9"/>
  <c r="M59" i="9"/>
  <c r="P59" i="9"/>
  <c r="L59" i="9"/>
  <c r="R47" i="9"/>
  <c r="Q47" i="9"/>
  <c r="P47" i="9"/>
  <c r="P55" i="9"/>
  <c r="O55" i="9"/>
  <c r="Q55" i="9"/>
  <c r="H25" i="9"/>
  <c r="I25" i="9"/>
  <c r="D18" i="9"/>
  <c r="D50" i="9" l="1"/>
  <c r="R51" i="9" s="1"/>
  <c r="R60" i="9" s="1"/>
  <c r="H60" i="9"/>
  <c r="S43" i="9"/>
  <c r="N49" i="9"/>
  <c r="P49" i="9"/>
  <c r="Q49" i="9"/>
  <c r="O49" i="9"/>
  <c r="S59" i="9"/>
  <c r="S39" i="9"/>
  <c r="M57" i="9"/>
  <c r="P57" i="9"/>
  <c r="L57" i="9"/>
  <c r="O57" i="9"/>
  <c r="N57" i="9"/>
  <c r="S47" i="9"/>
  <c r="S41" i="9"/>
  <c r="N37" i="9"/>
  <c r="M37" i="9"/>
  <c r="L37" i="9"/>
  <c r="S55" i="9"/>
  <c r="D32" i="9"/>
  <c r="S25" i="9"/>
  <c r="G60" i="9"/>
  <c r="F19" i="9"/>
  <c r="F60" i="9" s="1"/>
  <c r="J29" i="9"/>
  <c r="E19" i="9"/>
  <c r="Q51" i="9" l="1"/>
  <c r="Q60" i="9" s="1"/>
  <c r="S57" i="9"/>
  <c r="S49" i="9"/>
  <c r="J33" i="9"/>
  <c r="L33" i="9"/>
  <c r="I33" i="9"/>
  <c r="K33" i="9"/>
  <c r="S37" i="9"/>
  <c r="D26" i="9"/>
  <c r="K29" i="9"/>
  <c r="S21" i="9"/>
  <c r="S51" i="9" l="1"/>
  <c r="K27" i="9"/>
  <c r="L27" i="9"/>
  <c r="M27" i="9"/>
  <c r="S33" i="9"/>
  <c r="S29" i="9"/>
  <c r="S23" i="9"/>
  <c r="S19" i="9"/>
  <c r="S27" i="9" l="1"/>
  <c r="E87" i="27"/>
  <c r="K87" i="27" s="1"/>
  <c r="G89" i="1" l="1"/>
  <c r="J89" i="1" s="1"/>
  <c r="J88" i="1" s="1"/>
  <c r="J91" i="1"/>
  <c r="E114" i="27"/>
  <c r="D30" i="9" l="1"/>
  <c r="K114" i="27"/>
  <c r="E115" i="27"/>
  <c r="K115" i="27" s="1"/>
  <c r="G110" i="1" l="1"/>
  <c r="J110" i="1" s="1"/>
  <c r="G111" i="1"/>
  <c r="J111" i="1" s="1"/>
  <c r="L31" i="9"/>
  <c r="L60" i="9" s="1"/>
  <c r="J31" i="9"/>
  <c r="J60" i="9" s="1"/>
  <c r="K31" i="9"/>
  <c r="K60" i="9" s="1"/>
  <c r="M31" i="9"/>
  <c r="I31" i="9"/>
  <c r="J109" i="1" l="1"/>
  <c r="D34" i="9" s="1"/>
  <c r="S31" i="9"/>
  <c r="I60" i="9"/>
  <c r="P35" i="9" l="1"/>
  <c r="P60" i="9" s="1"/>
  <c r="M35" i="9"/>
  <c r="N35" i="9"/>
  <c r="O35" i="9"/>
  <c r="N60" i="9"/>
  <c r="O60" i="9"/>
  <c r="M60" i="9" l="1"/>
  <c r="S35" i="9"/>
  <c r="K32" i="27"/>
  <c r="G34" i="1" l="1"/>
  <c r="J34" i="1" s="1"/>
  <c r="J33" i="1" s="1"/>
  <c r="J18" i="1" l="1"/>
  <c r="D16" i="9" s="1"/>
  <c r="J297" i="1" l="1"/>
  <c r="D60" i="9"/>
  <c r="E17" i="9"/>
  <c r="S17" i="9" s="1"/>
  <c r="S60" i="9" s="1"/>
  <c r="E60" i="9" l="1"/>
  <c r="E61" i="9" s="1"/>
  <c r="F61" i="9" s="1"/>
  <c r="G61" i="9" s="1"/>
  <c r="H61" i="9" s="1"/>
  <c r="I61" i="9" s="1"/>
  <c r="J61" i="9" s="1"/>
  <c r="K61" i="9" s="1"/>
  <c r="L61" i="9" s="1"/>
  <c r="M61" i="9" s="1"/>
  <c r="N61" i="9" s="1"/>
  <c r="O61" i="9" s="1"/>
  <c r="P61" i="9" s="1"/>
  <c r="Q61" i="9" s="1"/>
  <c r="R61" i="9" s="1"/>
  <c r="S61" i="9"/>
</calcChain>
</file>

<file path=xl/sharedStrings.xml><?xml version="1.0" encoding="utf-8"?>
<sst xmlns="http://schemas.openxmlformats.org/spreadsheetml/2006/main" count="2070" uniqueCount="778">
  <si>
    <t>PREFEITURA MUNICIPAL DE SÃO MATEUS
Estado do Espírito Santo
Secretaria Municipal de Obras, Infraestrutura e Transporte
Departamento Engenharia</t>
  </si>
  <si>
    <t>% BDI =</t>
  </si>
  <si>
    <t>PLANILHA ORÇAMENTÁRIA</t>
  </si>
  <si>
    <t>Endereço: Av. José Tozze, no 2.220 - Centro - São Mateus</t>
  </si>
  <si>
    <r>
      <rPr>
        <sz val="11"/>
        <rFont val="Calibri"/>
        <family val="2"/>
      </rPr>
      <t>ITEM</t>
    </r>
  </si>
  <si>
    <r>
      <rPr>
        <sz val="11"/>
        <rFont val="Calibri"/>
        <family val="2"/>
      </rPr>
      <t>CÓDIGO</t>
    </r>
  </si>
  <si>
    <r>
      <rPr>
        <sz val="11"/>
        <rFont val="Calibri"/>
        <family val="2"/>
      </rPr>
      <t>DESCRIÇÃO</t>
    </r>
  </si>
  <si>
    <r>
      <rPr>
        <sz val="11"/>
        <rFont val="Calibri"/>
        <family val="2"/>
      </rPr>
      <t>FONTE</t>
    </r>
  </si>
  <si>
    <r>
      <rPr>
        <sz val="11"/>
        <rFont val="Calibri"/>
        <family val="2"/>
      </rPr>
      <t>UND</t>
    </r>
  </si>
  <si>
    <t>QUANT</t>
  </si>
  <si>
    <r>
      <rPr>
        <sz val="11"/>
        <rFont val="Calibri"/>
        <family val="2"/>
      </rPr>
      <t>PREÇO
UNITÁRIO R$</t>
    </r>
  </si>
  <si>
    <t>PREÇO
UNITÁRIO C/ BDI R$</t>
  </si>
  <si>
    <r>
      <rPr>
        <sz val="11"/>
        <rFont val="Calibri"/>
        <family val="2"/>
      </rPr>
      <t>PREÇO
TOTAL R$</t>
    </r>
  </si>
  <si>
    <t>VALOR TOTAL DA OBRA</t>
  </si>
  <si>
    <r>
      <t>Município</t>
    </r>
    <r>
      <rPr>
        <sz val="10"/>
        <rFont val="Arial"/>
        <family val="2"/>
      </rPr>
      <t>: São Mateus / ES</t>
    </r>
  </si>
  <si>
    <r>
      <t>Endereço</t>
    </r>
    <r>
      <rPr>
        <sz val="10"/>
        <rFont val="Arial"/>
        <family val="2"/>
      </rPr>
      <t>: Av. José Tozze, no 2.220 - Centro</t>
    </r>
  </si>
  <si>
    <t>CRONOGRAMA FÍSICO / FINANCEIRO</t>
  </si>
  <si>
    <r>
      <rPr>
        <b/>
        <sz val="10"/>
        <rFont val="Arial"/>
        <family val="2"/>
      </rPr>
      <t>ITEM</t>
    </r>
  </si>
  <si>
    <r>
      <rPr>
        <b/>
        <sz val="10"/>
        <rFont val="Arial"/>
        <family val="2"/>
      </rPr>
      <t>DESCRIÇÃO</t>
    </r>
  </si>
  <si>
    <r>
      <rPr>
        <b/>
        <sz val="10"/>
        <rFont val="Arial"/>
        <family val="2"/>
      </rPr>
      <t>VALOR (R$)</t>
    </r>
  </si>
  <si>
    <r>
      <rPr>
        <b/>
        <sz val="10"/>
        <rFont val="Arial"/>
        <family val="2"/>
      </rPr>
      <t>Total parcela</t>
    </r>
  </si>
  <si>
    <t>TOTAL</t>
  </si>
  <si>
    <t>ITEM</t>
  </si>
  <si>
    <t>kg</t>
  </si>
  <si>
    <t>REVESTIMENTOS INTERNOS E EXTERNOS</t>
  </si>
  <si>
    <t>PAVIMENTAÇÃO INTERNA</t>
  </si>
  <si>
    <t>m²</t>
  </si>
  <si>
    <t>m</t>
  </si>
  <si>
    <t>PAVIMENTAÇÃO EXTERNA</t>
  </si>
  <si>
    <t>SERVIÇOS COMPLEMENTARES</t>
  </si>
  <si>
    <t>BDI</t>
  </si>
  <si>
    <t>DEMONSTRATIVO BDI</t>
  </si>
  <si>
    <t>VALOR</t>
  </si>
  <si>
    <t>Administração Central</t>
  </si>
  <si>
    <t>Lucro</t>
  </si>
  <si>
    <t>PIS</t>
  </si>
  <si>
    <t>COFINS</t>
  </si>
  <si>
    <t>FÓRMULA</t>
  </si>
  <si>
    <t>TOTAL DO BDI</t>
  </si>
  <si>
    <t>H</t>
  </si>
  <si>
    <t>Enc. Sociais:</t>
  </si>
  <si>
    <t>Prazo:</t>
  </si>
  <si>
    <t>COMPOSIÇÕES</t>
  </si>
  <si>
    <t xml:space="preserve">Mês :   </t>
  </si>
  <si>
    <t>Ano:</t>
  </si>
  <si>
    <t>Item:</t>
  </si>
  <si>
    <t>Serviço :</t>
  </si>
  <si>
    <t>Comp - 01</t>
  </si>
  <si>
    <t>Descrição :</t>
  </si>
  <si>
    <t>Unidade :</t>
  </si>
  <si>
    <t>MÃO DE OBRA</t>
  </si>
  <si>
    <t>Unid</t>
  </si>
  <si>
    <t>Código</t>
  </si>
  <si>
    <t>Coefic.</t>
  </si>
  <si>
    <t>C. Prod.</t>
  </si>
  <si>
    <t>Pr. Prod.</t>
  </si>
  <si>
    <t>Pr. Unit. Improd.</t>
  </si>
  <si>
    <t>Pr. Unit.</t>
  </si>
  <si>
    <t>Subtotal</t>
  </si>
  <si>
    <t>SubTotal:</t>
  </si>
  <si>
    <t>MATERIAL</t>
  </si>
  <si>
    <t>EQUIPAMENTO</t>
  </si>
  <si>
    <t>RESUMO</t>
  </si>
  <si>
    <t>DISCRIMINAÇÃO</t>
  </si>
  <si>
    <t>TAXA(%)</t>
  </si>
  <si>
    <t>VALORES</t>
  </si>
  <si>
    <t>Mão-de-Obra(A)</t>
  </si>
  <si>
    <t>Materiais(B)</t>
  </si>
  <si>
    <t>Equipamentos(C)</t>
  </si>
  <si>
    <t>Produção da Equipe(D)</t>
  </si>
  <si>
    <t>Custo Horário Total(A+C)</t>
  </si>
  <si>
    <t>Custo Unitário da Execução[(A/D)+(C/D)] = E</t>
  </si>
  <si>
    <t>Custo Direto Total(B+E)</t>
  </si>
  <si>
    <t>Bonificações e Despesas Indiretas - BDI</t>
  </si>
  <si>
    <t>CUSTO UNITÁRIO (Adotado)</t>
  </si>
  <si>
    <t>Comp - 02</t>
  </si>
  <si>
    <t>Rede de água com padrão de entrada d'água diâm. 3/4", conf. espec. CESAN, incl. tubos e conexões para alimentação, distribuição, extravasor e limpeza, cons. o padrão a 25m, conf. projeto (1 utilização)</t>
  </si>
  <si>
    <t>und</t>
  </si>
  <si>
    <t>REFORMA DA UNIDADE DE SAÚDE 3</t>
  </si>
  <si>
    <r>
      <t>Obra</t>
    </r>
    <r>
      <rPr>
        <sz val="10"/>
        <rFont val="Arial"/>
        <family val="2"/>
      </rPr>
      <t>: Reforma da Unidade de Saude 3</t>
    </r>
  </si>
  <si>
    <t>DER</t>
  </si>
  <si>
    <t>Placa de obra nas dimensões de 2.0 x 4.0 m, padrão IOPES</t>
  </si>
  <si>
    <t>ms</t>
  </si>
  <si>
    <t>Tapume madeira compensada resinada e= 12mm h=2,20m, estr. c/ mad reflorest., incl mont, pintura esmalte sint, adesivo "IOPES" 60x60cm a cada 10m e faixas c/ pintura esmalte sintético nas cores azul c/ h=30cm e rosa c/ h=10cm</t>
  </si>
  <si>
    <t>PORTAS DE MADEIRA</t>
  </si>
  <si>
    <t xml:space="preserve">Terminal para ligação de cabo a barra de 50.0 mm2 </t>
  </si>
  <si>
    <t xml:space="preserve">Caixa de inspeção em PVC, diâmetro 300 mm, ref TEL-552, marca de referência Termotécnica ouequivalente, inclusive escavação e reaterro </t>
  </si>
  <si>
    <t>Tampa reforçada em ferro fundido com escotilha TEL 536, inclusive assentamento, marca de referência Termotécnica ou equivalente</t>
  </si>
  <si>
    <t>Pára-raios tipo franklim incluindo base de fixação, conjunto de contraventagem c/abraçadeira p/3 estais em tubo e demais acessórios c/exceção do cabo de cobre de descida e suportes isoladores</t>
  </si>
  <si>
    <t>Cabo de cobre nú 50 mm2, ref. TEL-5750, marca de referência Termotécnica ou equivalente, inclusive abertura e fechamento de vala para cabo dimensões 50x20cm</t>
  </si>
  <si>
    <t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t>
  </si>
  <si>
    <t xml:space="preserve">Caixa de embutir marca de referência Tigreflex, 4x2" </t>
  </si>
  <si>
    <t>Emassamento de paredes e forros, com duas demãos de massa acrílica, marcas de referência Suvinil, Coral ou Metalatex</t>
  </si>
  <si>
    <t>Reboco tipo paulista de argamassa de cimento, cal hidratada CH1 e areia média ou grossa lavada no traço 1:0.5:6, espessura 25 mm</t>
  </si>
  <si>
    <t>Emboço de argamassa de cimento, cal hidratada CH1 e areia média ou grossa lavada no traço 1:0.5:6, espessura 20 mm</t>
  </si>
  <si>
    <t>m³</t>
  </si>
  <si>
    <t>Eletroduto flexível corrugado 3/4" , marca de referência TIGRE</t>
  </si>
  <si>
    <t xml:space="preserve">Caixa sextavada em PVC de 3x3x1 1/2", marca de referência Tigreflex </t>
  </si>
  <si>
    <t>Ducha manual Acqua jet , linha Aquarius, com registro ref.C 2195, marcas de referência Fabrimar, Deca ou Docol</t>
  </si>
  <si>
    <t>SERVIÇOS PRELIMINARES</t>
  </si>
  <si>
    <t>SISTEMA DE VEDAÇÃO VERTICAL</t>
  </si>
  <si>
    <t>ESQUADRIAS</t>
  </si>
  <si>
    <t>COBERTURA</t>
  </si>
  <si>
    <t>INSTALAÇÃO SANITÁRIA</t>
  </si>
  <si>
    <t>CENTRO DE DISTRIBUIÇÃO</t>
  </si>
  <si>
    <t>DISJUNTORES</t>
  </si>
  <si>
    <t>CABOS E FIOS (CONDUTORES)</t>
  </si>
  <si>
    <t>ILUMINAÇÃO</t>
  </si>
  <si>
    <t>Tubo de PVC rígido soldável marrom, diâm. 20mm (1/2"), inclusive conexões</t>
  </si>
  <si>
    <t>Tubo de PVC rígido soldável branco, para esgoto, diâmetro 100mm (4"), inclusive conexões</t>
  </si>
  <si>
    <t>Tubo de PVC rígido soldável branco, para esgoto, diâmetro 50mm (2"), inclusive conexões</t>
  </si>
  <si>
    <t>Fornecimento e aplicação de concreto USINADO Fck=30 MPa - considerando lançamento MANUAL para INFRA-ESTRUTURA (5% de perdas já incluído no custo)</t>
  </si>
  <si>
    <t>Extintor de incêndio de gás carbônico CO2 5 B:C (6 Kg), inclusive suporte para fixação, EXCLUSIVE placa sinalizadora em PVC fotoluminescente</t>
  </si>
  <si>
    <t>Rede de esgoto, contendo fossa e filtro, inclusive tubos e conexões de ligação entre caixas, considerando distância de 25m, conforme projeto (1 utilização)</t>
  </si>
  <si>
    <t>LEIS SOCIAIS:       157,27%</t>
  </si>
  <si>
    <t>Comp - 03</t>
  </si>
  <si>
    <t>1.1</t>
  </si>
  <si>
    <t>3.1</t>
  </si>
  <si>
    <t>3.2</t>
  </si>
  <si>
    <t>4.1</t>
  </si>
  <si>
    <t>4.2</t>
  </si>
  <si>
    <t>5.2</t>
  </si>
  <si>
    <t>6.1</t>
  </si>
  <si>
    <t>7.1</t>
  </si>
  <si>
    <t>8.2</t>
  </si>
  <si>
    <t>9.1</t>
  </si>
  <si>
    <t>9.1.1</t>
  </si>
  <si>
    <t>9.1.2</t>
  </si>
  <si>
    <t>9.2</t>
  </si>
  <si>
    <t>9.2.1</t>
  </si>
  <si>
    <t>10.1</t>
  </si>
  <si>
    <t>10.2</t>
  </si>
  <si>
    <t>11.1</t>
  </si>
  <si>
    <t>11.1.1</t>
  </si>
  <si>
    <t>11.1.2</t>
  </si>
  <si>
    <t>11.1.3</t>
  </si>
  <si>
    <t>11.1.4</t>
  </si>
  <si>
    <t>11.2</t>
  </si>
  <si>
    <t>11.2.1</t>
  </si>
  <si>
    <t>11.2.2</t>
  </si>
  <si>
    <t>11.2.3</t>
  </si>
  <si>
    <t>11.2.4</t>
  </si>
  <si>
    <t>12.1</t>
  </si>
  <si>
    <t>12.2</t>
  </si>
  <si>
    <t>12.3</t>
  </si>
  <si>
    <t>13.1</t>
  </si>
  <si>
    <t>13.2</t>
  </si>
  <si>
    <t>13.3</t>
  </si>
  <si>
    <t>14.1</t>
  </si>
  <si>
    <t>14.2</t>
  </si>
  <si>
    <t>14.3</t>
  </si>
  <si>
    <t>14.4</t>
  </si>
  <si>
    <t>14.5</t>
  </si>
  <si>
    <t>14.6</t>
  </si>
  <si>
    <t>15.1</t>
  </si>
  <si>
    <t>15.2</t>
  </si>
  <si>
    <t>5.1</t>
  </si>
  <si>
    <t>Rede de luz, incl. padrão entrada de energia trifás., cabo de ligação até barracões, quadro de distrib., disj. e chave de força (quando necessário), cons. 20m entre padrão entrada e QDG, conf. projeto (1 utilização)</t>
  </si>
  <si>
    <t>Fornecimento e plantio de grama em placas tipo esmeralda, inclusive fornecimento de terra vegetal</t>
  </si>
  <si>
    <t>Fôrma de tábua de madeira de 2.5x30.0cm, levando-se em conta utilização 3 vezes (incluindo o material, corte, montagem, escoramento e desforma)</t>
  </si>
  <si>
    <t>Fornecimento, dobragem e colocação em fôrma, de armadura CA-50 A grossa diâmetro de 12.5 a 25.0 mm (1/2 a 1")</t>
  </si>
  <si>
    <t>Muro de alvenaria de blocos cerâmicos 10x20x20cm, c/ pilares a cada 2 m, esp. 10cm e h=2.5m, revestido com chapisco, reboco e pintura acrílica a 2 demãos, incl. pilares, cintas e sapatas, empregando arg. Cimento cal e areia</t>
  </si>
  <si>
    <t>Bomba centrífuga trifásica 5CV, modelo 620 Dancor, ou equivalente</t>
  </si>
  <si>
    <t>13.4</t>
  </si>
  <si>
    <t>13.5</t>
  </si>
  <si>
    <t>13.6</t>
  </si>
  <si>
    <t>Dispositivo de proteção contra surto (DPS) bipolar, tensão nominal máxima 275VCA, corente de surto máxima 40KA.</t>
  </si>
  <si>
    <t>15.3</t>
  </si>
  <si>
    <t>16.1</t>
  </si>
  <si>
    <t>16.2</t>
  </si>
  <si>
    <t xml:space="preserve">PREFEITURA MUNICIPAL DE COLATINA
Estado do Espírito Santo
</t>
  </si>
  <si>
    <r>
      <t>Município</t>
    </r>
    <r>
      <rPr>
        <sz val="11"/>
        <color theme="1"/>
        <rFont val="Calibri"/>
        <family val="2"/>
        <scheme val="minor"/>
      </rPr>
      <t>: Colatina / ES</t>
    </r>
  </si>
  <si>
    <t>SINAPI</t>
  </si>
  <si>
    <t>VASO SANITARIO SIFONADO CONVENCIONAL PARA PCD SEM FURO FRONTAL COM LOUÇA BRANCA SEM ASSENTO, INCLUSO CONJUNTO DE LIGAÇÃO PARA BACIA SANITÁRIA AJUSTÁVEL - FORNECIMENTO E INSTALAÇÃO. AF_01/2020</t>
  </si>
  <si>
    <t>KIT DE PORTA DE MADEIRA PARA PINTURA, SEMI-OCA (LEVE OU MÉDIA), PADRÃO MÉDIO, 80X210CM, ESPESSURA DE 3,5CM, ITENS INCLUSOS: DOBRADIÇAS, MONTAGEM E INSTALAÇÃO DO BATENTE, FECHADURA COM EXECUÇÃO DO FURO - FORNECIMENTO E INSTALAÇÃO. AF_12/2019</t>
  </si>
  <si>
    <t>Administração Local</t>
  </si>
  <si>
    <t>Impostos/Tributos</t>
  </si>
  <si>
    <t>ISS</t>
  </si>
  <si>
    <t>Custos Financeiros</t>
  </si>
  <si>
    <t>Riscos, Garantias e Seguro</t>
  </si>
  <si>
    <t>BDI = { [ (1+AC/100+AL/100+S/100+R/100+G/100) x (1+DF/100) x (1+L/100) / (1-I/100)] -1} x 100</t>
  </si>
  <si>
    <t>4.3</t>
  </si>
  <si>
    <t>4.4</t>
  </si>
  <si>
    <t>7.2</t>
  </si>
  <si>
    <t>8.3</t>
  </si>
  <si>
    <t>9.1.3</t>
  </si>
  <si>
    <t>9.1.4</t>
  </si>
  <si>
    <t>9.2.2</t>
  </si>
  <si>
    <t>9.2.3</t>
  </si>
  <si>
    <t>10.3</t>
  </si>
  <si>
    <t>10.4</t>
  </si>
  <si>
    <t>14.7</t>
  </si>
  <si>
    <t>14.8</t>
  </si>
  <si>
    <t>30 DIAS</t>
  </si>
  <si>
    <t>60 DIAS</t>
  </si>
  <si>
    <t>90 DIAS</t>
  </si>
  <si>
    <t>120 DIAS</t>
  </si>
  <si>
    <t>150 DIAS</t>
  </si>
  <si>
    <t>180 DIAS</t>
  </si>
  <si>
    <t>210 DIAS</t>
  </si>
  <si>
    <t>240 DIAS</t>
  </si>
  <si>
    <t>MOVIMENTAÇÃO DE TERRA</t>
  </si>
  <si>
    <t>3.3</t>
  </si>
  <si>
    <t>3.4</t>
  </si>
  <si>
    <t>Aterro compactado utilizando compactador de placa vibratória com reaproveitamento do material</t>
  </si>
  <si>
    <t>INSTALAÇÕES ELÉTRICAS - 127-220V</t>
  </si>
  <si>
    <t>Quadro de distribuição de energia, de embutir, com 24 divisões modulares, com barramento</t>
  </si>
  <si>
    <t>Haste de terra tipo COPPERWELD - 5/8" x 2.40m</t>
  </si>
  <si>
    <t>Mini-Disjuntor bipolar 32 A, curva C - 5KA 220/127VCA (NBR IEC 60947-2), Ref. Siemens, GE, Schneider ou equivalente</t>
  </si>
  <si>
    <t>ELETRODUTOS E ACESSÓRIOS</t>
  </si>
  <si>
    <t>Eletroduto flexível corrugado 1" , marca de referência TIGRE</t>
  </si>
  <si>
    <t xml:space="preserve"> m</t>
  </si>
  <si>
    <t xml:space="preserve">und </t>
  </si>
  <si>
    <t xml:space="preserve">Fio de cobre termoplástico, com isolamento para 750V, seção de 2.5 mm2 </t>
  </si>
  <si>
    <t xml:space="preserve">Fio ou cabo de cobre termoplástico, com isolamento para 750V, seção de 4.0 mm2 </t>
  </si>
  <si>
    <t>COMPOSIÇÃO</t>
  </si>
  <si>
    <t>6.2</t>
  </si>
  <si>
    <t>6.3</t>
  </si>
  <si>
    <t>6.4</t>
  </si>
  <si>
    <t>8.1</t>
  </si>
  <si>
    <t>8.4</t>
  </si>
  <si>
    <t>8.5</t>
  </si>
  <si>
    <t>Tabela :SINAPI MARÇO NÃO DESONERADA</t>
  </si>
  <si>
    <t>AUXILIAR DE ELETRICISTA COM ENCARGOS COMPLEMENTARES</t>
  </si>
  <si>
    <t>ELETRICISTA COM ENCARGOS COMPLEMENTARES</t>
  </si>
  <si>
    <t>Tabela :SINAPI MARÇO NÃO DESONERADA/ MERCADO</t>
  </si>
  <si>
    <t>270 DIAS</t>
  </si>
  <si>
    <t>300 DIAS</t>
  </si>
  <si>
    <t>EXECUÇÃO DE SANITÁRIO E VESTIÁRIO EM CANTEIRO DE OBRA EM CHAPA DE MADEIRA COMPENSADA, NÃO INCLUSO MOBILIÁRIO. AF_02/2016</t>
  </si>
  <si>
    <t>INFRAESTRUTURA</t>
  </si>
  <si>
    <t>Fornecimento, dobragem e colocação em fôrma, de armadura CA-50 A média, diâmetro de 6.3 a 10.0 mm</t>
  </si>
  <si>
    <t>Fornecimento, dobragem e colocação em fôrma, de armadura CA-60 B fina, diâmetro de 4.0 a 7.0mm</t>
  </si>
  <si>
    <t>SUPERESTRUTURA</t>
  </si>
  <si>
    <t>ALVENARIA DE VEDAÇÃO DE BLOCOS CERÂMICOS FURADOS NA VERTICAL DE 9X19X39 CM (ESPESSURA 9 CM) E ARGAMASSA DE ASSENTAMENTO COM PREPARO EM BETONEIRA. AF_12/2021</t>
  </si>
  <si>
    <t>Divisória de granito com 3 cm de espessura, assentada com argamassa de cimento e areia no traço 1:3, na cor cinza</t>
  </si>
  <si>
    <t>KIT DE PORTA-PRONTA DE MADEIRA EM ACABAMENTO MELAMÍNICO BRANCO, FOLHA LEVE OU MÉDIA, E BATENTE METÁLICO, 80X210CM, FIXAÇÃO COM ARGAMASSA - FORNECIMENTO E INSTALAÇÃO. AF_12/2019</t>
  </si>
  <si>
    <t>Porta em madeira de Lei tipo Angelim Pedra ou equiv. c/ enchimento em madeira de 1ª qualidade esp.30mm, com visor de vidro, inclusive alizares, dobradiças e fechaduras externas em latão cromado La Fonte/equiv. exclusive marco, nas dimensões: 0.80 x 2.10 m</t>
  </si>
  <si>
    <t>Porta em madeira de lei tipo angelim pedra ou equiv.c/enchimento em madeira 1a.qualidade esp. 30mm p/ pintura, incl. fechadura tipo "livre/ocupado" em latão cromado Lafonte ou equiv. e ferragens p/ fixação em granito, excl. marco, nas dimensões: 0.60 x 1.60 m</t>
  </si>
  <si>
    <t>PORTAS DE ALUMINIO</t>
  </si>
  <si>
    <t>6.1.1</t>
  </si>
  <si>
    <t>6.1.2</t>
  </si>
  <si>
    <t>6.1.3</t>
  </si>
  <si>
    <t>6.1.4</t>
  </si>
  <si>
    <t>6.2.1</t>
  </si>
  <si>
    <t>6.2.2</t>
  </si>
  <si>
    <t>PORTA DE ALUMÍNIO DE ABRIR PARA VIDRO SEM GUARNIÇÃO, 87X210CM, FIXAÇÃO COM PARAFUSOS, INCLUSIVE VIDROS - FORNECIMENTO E INSTALAÇÃO. AF_12/2019</t>
  </si>
  <si>
    <t>PORTA DE ALUMÍNIO DE ABRIR COM LAMBRI, COM GUARNIÇÃO, FIXAÇÃO COM PARAFUSOS - FORNECIMENTO E INSTALAÇÃO. AF_12/2019</t>
  </si>
  <si>
    <t>6.3.1</t>
  </si>
  <si>
    <t>JANELAS</t>
  </si>
  <si>
    <t>JANELA DE ALUMÍNIO DE CORRER COM 2 FOLHAS PARA VIDROS, COM VIDROS, BATENTE, ACABAMENTO COM ACETATO OU BRILHANTE E FERRAGENS. EXCLUSIVE ALIZAR E CONTRAMARCO. FORNECIMENTO E INSTALAÇÃO. AF_12/2019</t>
  </si>
  <si>
    <t>JANELA FIXA DE ALUMÍNIO PARA VIDRO, COM VIDRO, BATENTE E FERRAGENS. EXCLUSIVE ACABAMENTO, ALIZAR E CONTRAMARCO. FORNECIMENTO E INSTALAÇÃO. AF_12/2019</t>
  </si>
  <si>
    <t>6.3.2</t>
  </si>
  <si>
    <t>6.4.1</t>
  </si>
  <si>
    <t>PORTÕES</t>
  </si>
  <si>
    <t>6.4.2</t>
  </si>
  <si>
    <t>Portão de ferro de abrir em barra chata, inclusive chumbamento</t>
  </si>
  <si>
    <t>ESTRUTURA TRELIÇADA DE COBERTURA, TIPO FINK, COM LIGAÇÕES SOLDADAS, INCLUSOS PERFIS METÁLICOS, CHAPAS METÁLICAS, MÃO DE OBRA E TRANSPORTE COM GUINDASTE - FORNECIMENTO E INSTALAÇÃO. AF_01/2020_P</t>
  </si>
  <si>
    <t>Calha em chapa galvanizada com largura de 40 cm</t>
  </si>
  <si>
    <t>Cobertura nova de telhas de alumínio trapezoidal, H = 8 cm, esp. 0.5mm, inclusive acessórios de fixação</t>
  </si>
  <si>
    <t>Chapisco de argamassa de cimento e areia média ou grossa lavada, no traço 1:3, espessura 5 mm</t>
  </si>
  <si>
    <t>REVESTIMENTO CERÂMICO PARA PAREDES INTERNAS COM PLACAS TIPO ESMALTADA EXTRA DE DIMENSÕES 33X45 CM APLICADAS EM AMBIENTES DE ÁREA MAIOR QUE 5
M² NA ALTURA INTEIRA DAS PAREDES. AF_06/2014</t>
  </si>
  <si>
    <t>Forro de gesso acabamento tipo liso</t>
  </si>
  <si>
    <t>SISTEMAS DE PISOS</t>
  </si>
  <si>
    <t>Lastro de concreto não estrutural, espessura de 6 cm</t>
  </si>
  <si>
    <t>Regularização de base p/ revestimento cerâmico, com argamassa de cimento e areia no traço 1:5, espessura 3cm</t>
  </si>
  <si>
    <t>Piso cerâmico esmaltado, PEI 5, acabamento semibrilho, dim. 45x45cm, ref. de cor CARGO PLUS WHITE Eliane/equiv. assentado com argamassa de cimento colante, inclusive rejuntamento</t>
  </si>
  <si>
    <t>9.1.5</t>
  </si>
  <si>
    <t>PISO CIMENTADO, TRAÇO 1:3 (CIMENTO E AREIA), ACABAMENTO LISO, ESPESSURA 3,0 CM, PREPARO MECÂNICO DA ARGAMASSA. AF_09/2020</t>
  </si>
  <si>
    <t>Piso argamassa alta resistência tipo granilite ou equiv de qualidade comprovada, esp de 10mm, com juntas plástica em quadros de 1m, na cor natural, com acabamento anti-derrapante mecanizado, inclusive
regularização e=3.0cm</t>
  </si>
  <si>
    <t>Blocos pré-moldados de concreto tipo pavi-s ou equivalente, espessura de 8 cm e resistência a compressão mínima de 35MPa, assentados sobre colchão de pó de pedra na espessura de 10 cm</t>
  </si>
  <si>
    <t>Passeio de cimentado camurçado com argamassa de cimento e areia no traço 1:3 esp. 1.5cm, e lastro deconcreto com 8cm de espessura, inclusive preparo de caixa</t>
  </si>
  <si>
    <t>PINTURAS E ACABAMENTOS</t>
  </si>
  <si>
    <t>Pintura com tinta acrílica, marcas de referência Suvinil, Coral e Metalatex, inclusive selador acrílico, em paredes e forros, a duas demãos</t>
  </si>
  <si>
    <t>Pintura com tinta esmalte sintético, marcas de referência Suvinil, Coral ou Metalatex, inclusive fundo branco nivelador, em madeira, a duas demãos</t>
  </si>
  <si>
    <t>Pintura com tinta esmalte sintético, marcas de referência Suvinil, Coral ou Metalatex, a duas demãos, inclusive fundo anticorrosivo a uma demão, em metal</t>
  </si>
  <si>
    <t>INSTALAÇÃO HIDRAULICA</t>
  </si>
  <si>
    <t>TUBULAÇÕES DE PVC RIGIDO</t>
  </si>
  <si>
    <t>Tubo de PVC rígido soldável marrom, diâm. 85mm (3"), inclusive conexões</t>
  </si>
  <si>
    <t>Tubo de PVC rígido soldável marrom, diâm. 50mm (11/2"), inclusive conexões</t>
  </si>
  <si>
    <t>Tubo de PVC rígido soldável marrom, diâm. 25mm (3/4"), inclusive conexões</t>
  </si>
  <si>
    <t>REGISTRO DE GAVETA BRUTO, LATÃO, ROSCÁVEL, 3" - FORNECIMENTO E INSTALAÇÃO. AF_08/2021</t>
  </si>
  <si>
    <t>DRENAGEM DE AGUAS PLUVIAIS</t>
  </si>
  <si>
    <t>Caixa de areia de alvenaria de blocos de concreto 9x19x39cm, dim. 60x60cm e Hmáx=1m, c/ tampa em concreto esp. 5cm, lastro concreto esp. 10cm, revestida intern. c/ chapisco e reboco impermeabilizante, incl. escavação e reaterro</t>
  </si>
  <si>
    <t>RALO SIFONADO, PVC, DN 100 X 40 MM, JUNTA SOLDÁVEL, FORNECIDO E INSTALADO EM RAMAIS DE ENCAMINHAMENTO DE ÁGUA PLUVIAL. AF_12/2014</t>
  </si>
  <si>
    <t>Tubo de PVC rígido soldável branco, para esgoto, diâmetro 40mm (1 1/2"), inclusive conexões</t>
  </si>
  <si>
    <t>Caixa de gordura de alv. bloco concreto 9x19x39cm, dim.60x60cm e Hmáx=1m, com tampa em concreto esp.5cm, lastro concreto esp.10cm, revestida intern. c/ chapisco e reboco impermeab, escavação, reaterro e parede interna em concreto</t>
  </si>
  <si>
    <t>RALO SIFONADO, PVC, DN 100 X 40 MM, JUNTA SOLDÁVEL, FORNECIDO E INSTALADO EM RAMAL DE DESCARGA OU EM RAMAL DE ESGOTO SANITÁRIO. AF_12/2014</t>
  </si>
  <si>
    <t>13.7</t>
  </si>
  <si>
    <t>LOUÇAS, ACESSORIOS E METAIS</t>
  </si>
  <si>
    <t>INSTALAÇÃO DE GÁS COMBUSTÍVEL</t>
  </si>
  <si>
    <t>SISTEMA DEPROTEÇÃO CONTRA INCÊNDIO</t>
  </si>
  <si>
    <t>INSTALAÇÃO DE CLIMATIZAÇÃO</t>
  </si>
  <si>
    <t>16.3</t>
  </si>
  <si>
    <t>INSTALAÇÕES DE REDE ESTRUTURADA</t>
  </si>
  <si>
    <t>17.1</t>
  </si>
  <si>
    <t>Caixa de embutir marca de referência Tigreflex, 4x2"</t>
  </si>
  <si>
    <t>Caixa de passagem 150x150x80mm, chapa 18, com tampa parafusada</t>
  </si>
  <si>
    <t xml:space="preserve"> und</t>
  </si>
  <si>
    <t xml:space="preserve">Eletroduto flexível corrugado 1", marca de referência TIGRE </t>
  </si>
  <si>
    <t>Espelho 4" x 2" com conector RJ 45 fêmea CAT. 5e</t>
  </si>
  <si>
    <t xml:space="preserve">Tomada para telefone com conector RJ 11 </t>
  </si>
  <si>
    <t xml:space="preserve">Cabo telefônico CI, diâmetro do condutor 50mm, 30 pares </t>
  </si>
  <si>
    <t>No Break 1400VA (980W) Senoidal, tensão de entrada: 120V e tensão de saida: 120V, Interface Port DB-9 RS-232, SmartSlot, USB, inclusive fixação em rack 19"</t>
  </si>
  <si>
    <t>Patch Cord Multilan Extra Flexível CAT 5e U/UTP RJ-45 - 1,50 m</t>
  </si>
  <si>
    <t>Switch 24 portas RJ-45 10/100 + 2 10/100/1000, inclusive fixação em Rack 19"</t>
  </si>
  <si>
    <t>Fornecimento e instalação de Mini Rack de Parede Padrão 19" - 16 U´s x 570mm</t>
  </si>
  <si>
    <t>CABO ELETRÔNICO CATEGORIA 6, INSTALADO EM EDIFICAÇÃO INSTITUCIONAL - FORNECIMENTO E INSTALAÇÃO. AF_11/2019</t>
  </si>
  <si>
    <t>PATCH PANEL 24 PORTAS, CATEGORIA 6 - FORNECIMENTO E INSTALAÇÃO. AF_11/2019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</si>
  <si>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</si>
  <si>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</si>
  <si>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</si>
  <si>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</si>
  <si>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</si>
  <si>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</si>
  <si>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</si>
  <si>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</si>
  <si>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</si>
  <si>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19.10</t>
  </si>
  <si>
    <t>19.11</t>
  </si>
  <si>
    <t>19.12</t>
  </si>
  <si>
    <t>19.13</t>
  </si>
  <si>
    <t>SISTEMA DE PROTEÇÃO CONTRA DESCARGAS ATMOSFERICAS (SPDA)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</si>
  <si>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</si>
  <si>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</si>
  <si>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</si>
  <si>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</si>
  <si>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</si>
  <si>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</si>
  <si>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</si>
  <si>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</si>
  <si>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</si>
  <si>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 xml:space="preserve">m </t>
  </si>
  <si>
    <t>20.10</t>
  </si>
  <si>
    <t>Terminal estanhado de 1 compressão 1 furo, 50mm², ref. TEL-5150, marca de referência Termotécnica ou equivalente</t>
  </si>
  <si>
    <t>Eletroduto aparente de PVC rígido roscável diâmetro 1", inclusive abraçadeira de fixação</t>
  </si>
  <si>
    <t>Terminal aéreo em latão (minicaptor), com conector e fixação horizontal 250mm x 10mm, ref. TEL-2024, inclusive vedação dos furos com poliuretano ref. TEL 5905, marca de ref. Termotécnica ou equivalente</t>
  </si>
  <si>
    <t>Fornecimento e Instalação de Unidade Evaporadora e Condensadora de Ar Condicionado tipo Split Inverter Hi-Wall (Parede) de 12.000 BTU´s 220V - Ciclo Frio - Classificação A (Selo PROCEL), inclusive amortecedores vibra-stop</t>
  </si>
  <si>
    <t>Fornecimento e Instalação de Unidade Evaporadora e Condensadora de Ar Condicionado tipo Split Inverter Hi-Wall (Parede) de 24.000 BTU´s 220V - Ciclo Frio - Classificação A (Selo PROCEL), inclusive amortecedores vibra-stop</t>
  </si>
  <si>
    <t>18.1</t>
  </si>
  <si>
    <t>18.2</t>
  </si>
  <si>
    <t>18.3</t>
  </si>
  <si>
    <t>8.6</t>
  </si>
  <si>
    <t>14.9</t>
  </si>
  <si>
    <t>14.10</t>
  </si>
  <si>
    <t>14.11</t>
  </si>
  <si>
    <t>14.12</t>
  </si>
  <si>
    <t>14.13</t>
  </si>
  <si>
    <t>14.14</t>
  </si>
  <si>
    <t>14.15</t>
  </si>
  <si>
    <t>14.16</t>
  </si>
  <si>
    <t>14.17</t>
  </si>
  <si>
    <t>14.18</t>
  </si>
  <si>
    <t>14.19</t>
  </si>
  <si>
    <t>Vaso sanitário padrão popular completo com acessórios para ligação, marcas de referência Deca, Celite ou Ideal Standard, inclusive assento plástico</t>
  </si>
  <si>
    <t>BARRA DE APOIO RETA, EM ACO INOX POLIDO, COMPRIMENTO 80 CM, FIXADA NA PAREDE - FORNECIMENTO E INSTALAÇÃO. AF_01/2020</t>
  </si>
  <si>
    <t>VÁLVULA DE DESCARGA METÁLICA, BASE 1 1/2", ACABAMENTO METALICO CROMADO - FORNECIMENTO E INSTALAÇÃO. AF_08/2021</t>
  </si>
  <si>
    <t>CUBA DE EMBUTIR OVAL EM LOUÇA BRANCA, 35 X 50CM OU EQUIVALENTE - FORNECIMENTO E INSTALAÇÃO. AF_01/2020</t>
  </si>
  <si>
    <t>CUBA DE EMBUTIR RETANGULAR DE AÇO INOXIDÁVEL, 56 X 33 X 12 CM - FORNECIMENTO E INSTALAÇÃO. AF_01/2020</t>
  </si>
  <si>
    <t>Lavátorio de louça branca de canto p/ banheiro PNE, Coleção Master L.76.17, Ref. Deca ou equivalente, incl. válvula, sifão e engates metálicos cromados, exclusive torneira</t>
  </si>
  <si>
    <t>LAVATÓRIO LOUÇA BRANCA COM COLUNA, *44 X 35,5* CM, PADRÃO POPULAR - FORNECIMENTO E INSTALAÇÃO</t>
  </si>
  <si>
    <t>PAPELEIRA DE PAREDE EM METAL CROMADO SEM TAMPA, INCLUSO FIXAÇÃO. AF/2020</t>
  </si>
  <si>
    <t>SABONETEIRA PLASTICA TIPO DISPENSER PARA SABONETE LIQUIDO COM RESERVATORIO 800 A 1500 ML, INCLUSO FIXAÇÃO. AF_01/2020</t>
  </si>
  <si>
    <t>Torneira pressão cromada diâm. 1/2" para lavatório, marcas de referência Fabrimar, Deca ou Docol</t>
  </si>
  <si>
    <t>Torneira pressão cromada diam. 3/4" para uso geral, marcas de referência Fabrimar, Deca ou Docol</t>
  </si>
  <si>
    <t>Torneira para jardim de 3/4" marcas de referência Fabrimar, Deca ou Docol</t>
  </si>
  <si>
    <t>Torneira pressão cromada diam. 1/2" para pia, marcas de referência Fabrimar, Deca ou Docol</t>
  </si>
  <si>
    <t>Bancada de granito com espessura de 2 cm</t>
  </si>
  <si>
    <t>17.1.1</t>
  </si>
  <si>
    <t>17.1.2</t>
  </si>
  <si>
    <t>17.1.3</t>
  </si>
  <si>
    <t>17.1.4</t>
  </si>
  <si>
    <t>Fornecimento e instalaçãode quadro de força para QGBT</t>
  </si>
  <si>
    <t>17.2</t>
  </si>
  <si>
    <t>17.2.1</t>
  </si>
  <si>
    <t>17.2.2</t>
  </si>
  <si>
    <t>17.2.3</t>
  </si>
  <si>
    <t>17.2.4</t>
  </si>
  <si>
    <t>17.2.5</t>
  </si>
  <si>
    <t>17.2.6</t>
  </si>
  <si>
    <t>17.2.7</t>
  </si>
  <si>
    <t>17.2.8</t>
  </si>
  <si>
    <t>17.2.9</t>
  </si>
  <si>
    <t>Mini-Disjuntor monopolar 10 A, curva C - 5KA 220/127VCA (NBR IEC 60947-2), Ref. Siemens, GE, Schneider ou equivalente</t>
  </si>
  <si>
    <t>Mini-Disjuntor monopolar 20 A, curva C - 5KA 220/127VCA (NBR IEC 60947-2), Ref. Siemens, GE, Schneider ou equivalente</t>
  </si>
  <si>
    <t>Mini-Disjuntor tripolar 40 A, curva C - 5KA 220/127VCA (NBR IEC 60947-2), Ref. Siemens, GE, Schneider ou equivalente</t>
  </si>
  <si>
    <t>Mini-Disjuntor tripolar 80 A, curva C - 5KA 240VCA (NBR IEC 60947-2), Ref. Siemens, GE, Schneider ou equivalente</t>
  </si>
  <si>
    <t>Disjuntor caixa moldada termomagnético tripolar 125 A</t>
  </si>
  <si>
    <t xml:space="preserve"> und </t>
  </si>
  <si>
    <t>17.3</t>
  </si>
  <si>
    <t>17.3.1</t>
  </si>
  <si>
    <t>17.3.2</t>
  </si>
  <si>
    <t>17.3.3</t>
  </si>
  <si>
    <t>17.3.4</t>
  </si>
  <si>
    <t>17.3.5</t>
  </si>
  <si>
    <t>17.3.6</t>
  </si>
  <si>
    <t>17.3.7</t>
  </si>
  <si>
    <t xml:space="preserve">Eletroduto PEAD, cor preta, diam. 2", marca ref. Kanaflex ou equivalente </t>
  </si>
  <si>
    <t>Caixa de passagem de alvenaria de blocos de concreto 9x19x39cm, dimensões de 40x40x50cm, com revestimento interno em chapisco e reboco, tampa de concreto esp.5cm e lastro de brita 5 cm</t>
  </si>
  <si>
    <t>17.4</t>
  </si>
  <si>
    <t>17.4.1</t>
  </si>
  <si>
    <t>17.4.2</t>
  </si>
  <si>
    <t>17.4.3</t>
  </si>
  <si>
    <t>17.4.4</t>
  </si>
  <si>
    <t>17.4.5</t>
  </si>
  <si>
    <t>17.4.6</t>
  </si>
  <si>
    <t>17.4.7</t>
  </si>
  <si>
    <t>17.4.8</t>
  </si>
  <si>
    <t xml:space="preserve"> m </t>
  </si>
  <si>
    <t>Cabo de cobre termoplástico, com isolamento para 1000V, seção de 25.0 mm2</t>
  </si>
  <si>
    <t>Cabo de cobre termoplástico, com isolamento para 1000V, seção de 50 mm2</t>
  </si>
  <si>
    <t>Cabo de cobre termoplástico, com isolamento para 1000V, seção de 95.0 mm2</t>
  </si>
  <si>
    <t>Cabo de cobre termoplástico, com isolamento para 1000V, seção de 185,0mm2</t>
  </si>
  <si>
    <t>17.5.1</t>
  </si>
  <si>
    <t>17.5</t>
  </si>
  <si>
    <t>17.6.1</t>
  </si>
  <si>
    <t>TOMADAS E INTERRUPTORES</t>
  </si>
  <si>
    <t>17.6.2</t>
  </si>
  <si>
    <t>17.6.3</t>
  </si>
  <si>
    <t>17.6.4</t>
  </si>
  <si>
    <t>17.6.5</t>
  </si>
  <si>
    <t>17.5.2</t>
  </si>
  <si>
    <t>Interruptor de uma tecla simples 10A/250V, com placa 4x2"</t>
  </si>
  <si>
    <t xml:space="preserve">Tomada padrão brasileiro linha branca, NBR 14136 2 polos + terra 10A/250V, com placa 4x2" </t>
  </si>
  <si>
    <t>17.6.6</t>
  </si>
  <si>
    <t>17.6.7</t>
  </si>
  <si>
    <t>17.6.8</t>
  </si>
  <si>
    <t>composição</t>
  </si>
  <si>
    <t>Holofote Refletor de Led Linear 400W IP68 Branco Bivolt Duplo</t>
  </si>
  <si>
    <t>Ponto para iluminação de emergência completo, inclusive bloco autônomo de iluminação 2x9W com tomada universal</t>
  </si>
  <si>
    <t>REGISTRO DE GAVETA BRUTO, LATÃO, ROSCÁVEL, 1 1/2", COM ACABAMENTO E CANOPLA CROMADOS - FORNECIMENTO E INSTALAÇÃO. AF_08/2021</t>
  </si>
  <si>
    <t>REGISTRO DE GAVETA BRUTO, LATÃO, ROSCÁVEL, 3/4", COM ACABAMENTO E CANOPLA CROMADOS - FORNECIMENTO E INSTALAÇÃO. AF_08/2021</t>
  </si>
  <si>
    <t>Tubo de PVC rígido soldável branco, para esgoto, diâmetro 75mm (3"), inclusive conexões</t>
  </si>
  <si>
    <t>Tubo de PVC rígido soldável branco, para esgoto, diâmetro 150mm (6"), inclusive conexões</t>
  </si>
  <si>
    <t>13.8</t>
  </si>
  <si>
    <t>Caixas de inspeção de alv. blocos concreto 9x19x39cm, dim, 60x60cm e Hmáx = 1m, com tampa de conc.esp. 5cm, lastro de conc. esp. 10cm, revest intern. c/ chapisco e reboco impermeabilizado, incl. escavação, reaterro e enchimento</t>
  </si>
  <si>
    <t>21.1</t>
  </si>
  <si>
    <t>ALVENARIA E ALAMBRADO</t>
  </si>
  <si>
    <t>21.2</t>
  </si>
  <si>
    <t>21.3</t>
  </si>
  <si>
    <t>21.1.1</t>
  </si>
  <si>
    <t>21.2.1</t>
  </si>
  <si>
    <t>21.3.1</t>
  </si>
  <si>
    <t>21.3.2</t>
  </si>
  <si>
    <t>21.1.2</t>
  </si>
  <si>
    <t>21.2.2</t>
  </si>
  <si>
    <t>Alambrado com tela fio 12, malha de 1", tubos de ferro galvanizado verticais de 2" e tubos de ferro galvanizado horizontais de 1" soldados nas partes superior e inferior, inclusive portão</t>
  </si>
  <si>
    <t>COMPLEMENTOS</t>
  </si>
  <si>
    <t>Pintura à base de epoxi, marcas de referência Suvinil, Coral ou Novacor, em faixas com largura de 5cm, para demarcação de quadras de esportes</t>
  </si>
  <si>
    <t>Suporte para tabela de basquete de concreto armado Fck = 15MPa, inclusive forma, armação, lançamento e desforma</t>
  </si>
  <si>
    <t>Conjunto de poste de voleibol de tubo de ferro galvanizado 3"e parte móvel de 21/2", inclusive carretilha,furo com tubo de ferro galvanizado de 31/2"e tampão de furo</t>
  </si>
  <si>
    <t xml:space="preserve">Trave para futebol de salão de tubo de ferro galvanizado 3", com recuo, removível, dimensões oficiais 3x2m </t>
  </si>
  <si>
    <t>16.4</t>
  </si>
  <si>
    <t>16.5</t>
  </si>
  <si>
    <t>16.6</t>
  </si>
  <si>
    <t>16.7</t>
  </si>
  <si>
    <t>16.8</t>
  </si>
  <si>
    <t>16.9</t>
  </si>
  <si>
    <t>16.10</t>
  </si>
  <si>
    <t>Válvula de retenção vertical, ø 65 mm (2.1/2")</t>
  </si>
  <si>
    <t>Registro de gaveta bruto ø 65 mm (2 1/2")</t>
  </si>
  <si>
    <t xml:space="preserve">Tê 90° de ferro galvanizado ø 65 mm (2.1/2") </t>
  </si>
  <si>
    <t xml:space="preserve">Cotovelo 90° de ferro galvanizado ø 65 mm (2.1/2") </t>
  </si>
  <si>
    <t>Tubo de aço galvanizado com costura ø 65 mm (2.1/2"), conforme NBR5580</t>
  </si>
  <si>
    <t>Placa de sinalização de segurança CODIGO 14 - 315/158(NBR 13.434); CÓDIGO S3(NT 14/2010-ES) ("SAIDA DE EMERGÊNCIA" - seta vertical</t>
  </si>
  <si>
    <t>Hidrante de parede, com abrigo em chapa, 60x90x17cm, com suporte e mangueira 20m 63mm, adaptador rosca fêmea e engate rápido, esguicho em latão regulavel, registro globo angular 45º/ 63mm</t>
  </si>
  <si>
    <t xml:space="preserve">Extintor de incêndio de água pressurizada capacidade 2A (10L), inclusive suporte para fixação e EXCLUSIVE placa sinalizadora em PVC Fotoluminescente </t>
  </si>
  <si>
    <t>TUBO DE AÇO GALVANIZADO COM COSTURA, CLASSE MÉDIA, CONEXÃO ROSQUEADA, DN 20 (3/4"), INSTALADO EM RAMAIS E SUB-RAMAIS DE GÁS - FORNECIMENTO E INSTALAÇÃO. AF_10/2020</t>
  </si>
  <si>
    <t>REGISTRO OU REGULADOR DE GÁS DE COZINHA - FORNECIMENTO E INSTALAÇÃO</t>
  </si>
  <si>
    <t>MANÔMETRO 0 A 200 PSI (0 A 14 KGF/CM2), D = 50MM - FORNECIMENTO E INSTALAÇÃO. AF_10/2020</t>
  </si>
  <si>
    <t>COMP-01</t>
  </si>
  <si>
    <t>14 meses</t>
  </si>
  <si>
    <t>Quadro geral de distribuição de embutir, com barramento, em chapa galvaniz., medindo:1200x800x250cm, exclusive disjuntores</t>
  </si>
  <si>
    <t>Disjuntor termomagnetico tripolar 300 a / 600 v, tipo jxd /icc - 40 ka</t>
  </si>
  <si>
    <t>02378</t>
  </si>
  <si>
    <t>ORSE</t>
  </si>
  <si>
    <t>SENSOR DE PRESENÇA SEM FOTOCÉLULA, FIXAÇÃO EM PAREDE - FORNECIMENTO E INSTALAÇÃO. AF_02/2020</t>
  </si>
  <si>
    <t>Fornecimento e instalaçãode CONTATOR no Quadro 02</t>
  </si>
  <si>
    <t>TERMINAL A COMPRESSAO EM COBRE ESTANHADO PARA CABO 4 MM2, 1 FURO E 1 COMPR UM</t>
  </si>
  <si>
    <t>CONTATOR TRIPOLAR, CORRENTE DE *22* A, TENSAO NOMINAL DE *500* V, CATEGORI UM</t>
  </si>
  <si>
    <t>https://www.digitalled.com.br/refletores-de-led/refletor-200w-led-smd-branco-frio-ip66?parceiro=5222&amp;gclid=Cj0KCQjwhqaVBhCxARIsAHK1tiO1ra1grkmngxsEDKBR79L1UB3UV6Wz9kHXHviHao_Hwgb-4p1h5LIaAjSWEALw_wcB</t>
  </si>
  <si>
    <t>Refletor Led 200W Branco Frio Bivolt Prova Dágua Ip67</t>
  </si>
  <si>
    <t>COTAÇÃO 02</t>
  </si>
  <si>
    <t>Fornecimento e assentamento de ladrilho hidráulico pastilhado, vermelho, dim. 20x20 cm, esp. 1.5cm, assentado com pasta de cimento colante, exclusive regularização e lastro</t>
  </si>
  <si>
    <t>22.1</t>
  </si>
  <si>
    <t>22.2</t>
  </si>
  <si>
    <t>22.3</t>
  </si>
  <si>
    <t>330 DIAS</t>
  </si>
  <si>
    <t>360 DIAS</t>
  </si>
  <si>
    <t>420 DIAS</t>
  </si>
  <si>
    <t>Cerâmica 10 x 10 cm, marcas de referência Eliane, Cecrisa ou Portobello, nas cores branco ou areia, com rejunte esp. 0.5 cm, empregando argamassa colante</t>
  </si>
  <si>
    <t xml:space="preserve">MEMÓRIA DE CÁLCULO </t>
  </si>
  <si>
    <t>DESCRIÇÃO DOS SERVIÇOS</t>
  </si>
  <si>
    <t>UNID</t>
  </si>
  <si>
    <t>Q Unit.</t>
  </si>
  <si>
    <t>LARG</t>
  </si>
  <si>
    <t>COMP</t>
  </si>
  <si>
    <t>ALT</t>
  </si>
  <si>
    <t>PERIM</t>
  </si>
  <si>
    <t>OBS.</t>
  </si>
  <si>
    <t>QUANTIDADE</t>
  </si>
  <si>
    <t>1.2</t>
  </si>
  <si>
    <t>Conforme quantitativos do projeto Estrutural</t>
  </si>
  <si>
    <t>2.1</t>
  </si>
  <si>
    <t>Conforme quantitativos do projeto de Terraplanagem</t>
  </si>
  <si>
    <t>Conforme quantitativos do projeto Arquitetonico</t>
  </si>
  <si>
    <t>7.3</t>
  </si>
  <si>
    <t>9.1.6</t>
  </si>
  <si>
    <t>Soleira de granito esp. 2 cm e largura de 15 cm</t>
  </si>
  <si>
    <t>9.1.7</t>
  </si>
  <si>
    <t>Rodapé de argamassa de alta resistência tipo granilite ou equivalente de qualidade comprovada, altura de 10 cm e espessura de 10 mm, com cantos boleados, executado com cimento e granitina grana N.1,
inclusive polimento</t>
  </si>
  <si>
    <t>9.1.8</t>
  </si>
  <si>
    <t>Soleira 70</t>
  </si>
  <si>
    <t>soleira 80</t>
  </si>
  <si>
    <t>Fator de pintura 2,5</t>
  </si>
  <si>
    <t>Porta 60</t>
  </si>
  <si>
    <t>Porta 80</t>
  </si>
  <si>
    <t>Porta 80 banheiro</t>
  </si>
  <si>
    <t>fator de pintura 3,5</t>
  </si>
  <si>
    <t>Conforme quantitativos do projeto Hidrossanitário</t>
  </si>
  <si>
    <t>REGISTROS E ACESSORIOS</t>
  </si>
  <si>
    <t>11.2.5</t>
  </si>
  <si>
    <t>Padrão de entrada d'água com caixa termoplástica para hidrômetro de 3/4" - padrão 1B da CESAN. Instalado embutido na alvenaria. Inclusive tubulação, conexões, registro, tubo camisa e caixa com tampa transparente. Conferir detalhe.</t>
  </si>
  <si>
    <t>Mureta p/ cavalete (Padrão 1B - CESAN) de alv. blocos cerâmicos 10x20x20cm deitados, dimensões 0.80x1.0x0.20m, para instalação de caixa termoplastica, incl revest. em reboco e lastro concreto esp.10cm,exclusive caixa e cavalete</t>
  </si>
  <si>
    <t>Conforme quantitativos do projeto Gás de cozinha</t>
  </si>
  <si>
    <t>Conforme quantitativos do projeto de Combate a Incendio</t>
  </si>
  <si>
    <t>Conforme quantitativos do projeto de Eletrico</t>
  </si>
  <si>
    <t>17.6</t>
  </si>
  <si>
    <t>Conforme quantitativos do projeto de Climatização</t>
  </si>
  <si>
    <t>Conforme quantitativos do projeto de Logica</t>
  </si>
  <si>
    <t>Conforme quantitativos do projeto de SPDA</t>
  </si>
  <si>
    <t xml:space="preserve">Acabamento de perfil "U" em alumínio anodizado fosco 1/2" </t>
  </si>
  <si>
    <t>Cotação 03</t>
  </si>
  <si>
    <t>cotação</t>
  </si>
  <si>
    <t>Quadro pincel novo, completo, de laminado melamínico alta pressão, "LOUSA" quadriculado, cor branco brilhante, linha Lousas, padrão F608 Brancoline, esp. 1mm, incl. requadro madeira 2.5 x 5.0 cm e porta pincel, dim. 3.95 x 1.29 m</t>
  </si>
  <si>
    <t>Bicicletário em tubo de ferro galvanizado 1" e ferro liso 1/2", inclusive pintura, conforme projeto padrão SEDU</t>
  </si>
  <si>
    <t>Gradil H = 1.90m padrão SEDU em tudo de FG 2" e barra chata de 11/2"x1/4", para fixação sobre mureta conforme projeto, exclusive a mureta.</t>
  </si>
  <si>
    <t>Placa para inauguração de obra em alumínio polido e=4mm, dimensões 40 x 50 cm, gravação em baixo relevo, inclusive pintura e fixação</t>
  </si>
  <si>
    <t>22.4</t>
  </si>
  <si>
    <t>22.5</t>
  </si>
  <si>
    <t>22.6</t>
  </si>
  <si>
    <t>22.7</t>
  </si>
  <si>
    <t>22.8</t>
  </si>
  <si>
    <t>COTAÇÃO 03</t>
  </si>
  <si>
    <t>COTAÇÃO 04</t>
  </si>
  <si>
    <t>11.3</t>
  </si>
  <si>
    <t>11.3.1</t>
  </si>
  <si>
    <t>11.3.2</t>
  </si>
  <si>
    <t>11.3.3</t>
  </si>
  <si>
    <t>11.3.4</t>
  </si>
  <si>
    <t>11.3.5</t>
  </si>
  <si>
    <t>11.3.6</t>
  </si>
  <si>
    <t xml:space="preserve">CASTELO D'ÁGUA 30.000 L </t>
  </si>
  <si>
    <t>Escavação manual em material de 1a. categoria, até 1.50 m de profundidade</t>
  </si>
  <si>
    <t>Reaterro apiloado de cavas de fundação, em camadas de 20 cm</t>
  </si>
  <si>
    <t>2.2</t>
  </si>
  <si>
    <t>2.3</t>
  </si>
  <si>
    <t>INSTALAÇÕES DO CANTEIRO DE OBRAS</t>
  </si>
  <si>
    <t>1.1.1</t>
  </si>
  <si>
    <t>1.1.2</t>
  </si>
  <si>
    <t>1.1.3</t>
  </si>
  <si>
    <t>1.1.4</t>
  </si>
  <si>
    <t>1.1.5</t>
  </si>
  <si>
    <t>1.1.6</t>
  </si>
  <si>
    <t>1.1.7</t>
  </si>
  <si>
    <t>1.1.8</t>
  </si>
  <si>
    <t>1.1.9</t>
  </si>
  <si>
    <t>1.2.1</t>
  </si>
  <si>
    <t>DEMOLIÇÕES E RETIRADAS</t>
  </si>
  <si>
    <t>Locação de obra com gabarito de madeira</t>
  </si>
  <si>
    <t>1.2.2</t>
  </si>
  <si>
    <t>1.2.3</t>
  </si>
  <si>
    <t>1.2.4</t>
  </si>
  <si>
    <t>1.2.5</t>
  </si>
  <si>
    <t>1.2.6</t>
  </si>
  <si>
    <t>1.2.7</t>
  </si>
  <si>
    <t>1.2.8</t>
  </si>
  <si>
    <t>Demolição de alvenaria</t>
  </si>
  <si>
    <t>Demolição manual de concreto armado (EMOP 05.001.033)</t>
  </si>
  <si>
    <t>Demolição de divisória de granito</t>
  </si>
  <si>
    <t>Demolição de piso granilite</t>
  </si>
  <si>
    <t>Demolição de laje pré-moldada de concreto</t>
  </si>
  <si>
    <t>Remoção de telha ondulada de fibrocimento, inclusive cumeeira</t>
  </si>
  <si>
    <t>Retirada de estrutura em madeira do telhado</t>
  </si>
  <si>
    <t>1.2.9</t>
  </si>
  <si>
    <t>1.2.10</t>
  </si>
  <si>
    <t>1.2.11</t>
  </si>
  <si>
    <t>Retirada de grades, gradis, alambrados, cercas e portões</t>
  </si>
  <si>
    <t>Retirada de portas e janelas de madeira, inclusive batentes</t>
  </si>
  <si>
    <t>Retirada de aparelhos sanitários</t>
  </si>
  <si>
    <t>Retirada de bancada de pia</t>
  </si>
  <si>
    <t>Peitoril de granito cinza polido, 15 cm, esp. 3cm</t>
  </si>
  <si>
    <t xml:space="preserve">Grade de ferro em barra chata, inclusive chumbamento </t>
  </si>
  <si>
    <t>Tanque em mármore sintético com 2 bojos, inclusive válvula e sifão em PVC</t>
  </si>
  <si>
    <t>Espelho para banheiros espessura 4 mm, incluindo chapa compensada 10 mm, moldura de alumínio em perfil L 3/4", fixado com parafusos cromados</t>
  </si>
  <si>
    <t>7.4</t>
  </si>
  <si>
    <t>7.5</t>
  </si>
  <si>
    <t>7.6</t>
  </si>
  <si>
    <t>Estrutura de madeira de lei tipo Paraju, peroba mica, angelim pedra ou equivalente para telhado de telha ondulada de fibrocimento esp. 6mm, com pontaletes e caibros, inclusive tratamento com cupinicida, exclusive telhas</t>
  </si>
  <si>
    <t>Cobertura nova de telhas onduladas de fibrocimento 8.0mm, inclusive cumeeiras e acessórios de fixação</t>
  </si>
  <si>
    <t>Rufo de chapa de alumínio esp. 0.5mm, largura de 30cm</t>
  </si>
  <si>
    <t>Quadro distrib. energia, embutido ou semi embutido, capac. p/ 56 disj. DIN, c/barram trif. 225A barra. neutroe terra, fab. em chapa de aço 12 USG com porta, espelho, trinco com fechad ch</t>
  </si>
  <si>
    <t>Subestação ext. aérea trifás. 150KVA, completa, c/ quadros de medição, transf. a óleo, chave geral trip., poste e acessórios, conf. NOR-TEC-01 da Escelsa, incl. mureta rev. c/ arg. cimento, cal hidrat. CH1 e areia traço 1:0.5:6</t>
  </si>
  <si>
    <t>Mini-Disjuntor bipolar 16 A, curva C - 5KA 220/127VCA (NBR IEC 60947-2), Ref. Siemens, GE, Schneider
ou equivalente</t>
  </si>
  <si>
    <t>Mini-Disjuntor monopolar 25 A, curva C - 5KA 220/127VCA (NBR IEC 60947-2), Ref. Siemens, GE,
Schneider ou equivalente</t>
  </si>
  <si>
    <t>Eletrocalha perfurada em chapa de aço galvanizado nº16, 200x100mm, sem tampa</t>
  </si>
  <si>
    <t>Junção simples para eletrocalha metálica 200x100mm, galvanizada, ref. Mega MG 2760 ou equivalente</t>
  </si>
  <si>
    <t>TÊ horizontal 90º para eletrocalha metálica 200x100mm, galvanizada, ref. MEGA MG 2570 ou equivalente</t>
  </si>
  <si>
    <t>Curva horizontal 90º para eletrocalha metálica, 200x100mm, galvanizada, ref. MEGA MG 2510</t>
  </si>
  <si>
    <t xml:space="preserve">Caixa de embutir marca de referência Tigreflex, 4x4" </t>
  </si>
  <si>
    <t>17.3.8</t>
  </si>
  <si>
    <t>17.3.9</t>
  </si>
  <si>
    <t>17.3.10</t>
  </si>
  <si>
    <t>17.3.11</t>
  </si>
  <si>
    <t>17.3.12</t>
  </si>
  <si>
    <t>Suporte de fixação de eletrocalha de 200x100mm, no teto, através de gancho vertical (1 und), porca sextavada e arruela 1/4" (4 und), vergalhão rosca total 1/4" (h=60cm), cantoneira ZZ (1 und) e parafuso e
bucha S8 (2 und)</t>
  </si>
  <si>
    <t xml:space="preserve">Fio de cobre termoplástico, com isolamento para 750V, seção de 1.5 mm2 </t>
  </si>
  <si>
    <t>Fio ou cabo de cobre termoplástico, com isolamento para 750V, seção de 16.0 mm2</t>
  </si>
  <si>
    <t>17.7</t>
  </si>
  <si>
    <t>17.7.1</t>
  </si>
  <si>
    <t>FOTOVOLTAICO</t>
  </si>
  <si>
    <t>Conforme quantitativos do projeto Eletrico</t>
  </si>
  <si>
    <t>18.4</t>
  </si>
  <si>
    <t>18.5</t>
  </si>
  <si>
    <t>18.6</t>
  </si>
  <si>
    <t>18.7</t>
  </si>
  <si>
    <t>18.8</t>
  </si>
  <si>
    <t>18.9</t>
  </si>
  <si>
    <t>18.10</t>
  </si>
  <si>
    <t>18.11</t>
  </si>
  <si>
    <t xml:space="preserve"> ALVENARIA DE VEDAÇÃO DE BLOCOS CERÂMICOS FURADOS NA VERTICAL DE 19X19X39 CM (ESPESSURA 19 CM) E ARGAMASSA DE ASSENTAMENTO COM PREPARO EM BETONEIRA. AF_12/2021</t>
  </si>
  <si>
    <t>5.3</t>
  </si>
  <si>
    <t>7.7</t>
  </si>
  <si>
    <t>CHAPIM (RUFO CAPA) EM AÇO GALVANIZADO, CORTE 33. AF_11/2020</t>
  </si>
  <si>
    <t>Parede</t>
  </si>
  <si>
    <t>Teto</t>
  </si>
  <si>
    <t>soleira 200</t>
  </si>
  <si>
    <t>soleira 100</t>
  </si>
  <si>
    <t>Porta 70</t>
  </si>
  <si>
    <t>11.1.5</t>
  </si>
  <si>
    <t>Tubo de PVC rígido soldável marrom, diâm. 75mm (21/2"), inclusive conexões</t>
  </si>
  <si>
    <t>Bacia sifonada de louça branca com caixa acoplada, inclusive acessórios</t>
  </si>
  <si>
    <t>Fornecimento e Instalação de Unidade Evaporadora e Condensadora de Ar Condicionado tipo Split Inverter Hi-Wall (Parede) de 18.000 BTU´s 220V - Ciclo Frio - Classificação A (Selo PROCEL), inclusive amortecedores vibra-stop</t>
  </si>
  <si>
    <t>Instalação de Linha frigorígena para interligação do sistema de climatização incl. acessórios de fixação, fita PVC auto-aderente e cabo PP, exclusive tubos de cobre da linha liquida e sucção, espuma elastomérica flexível e gpas refrigerante</t>
  </si>
  <si>
    <t>Tubo de cobre com isolamento térmico - ø 1/2" esp. 9mm</t>
  </si>
  <si>
    <t>Tubo de cobre com isolamento térmico - ø 1/4" esp. 9mm</t>
  </si>
  <si>
    <t>Tubo de cobre com isolamento térmico - ø 3/8" esp. 9mm</t>
  </si>
  <si>
    <t>Tubo de cobre com isolamento térmico - ø 5/8" esp. 9mm</t>
  </si>
  <si>
    <t>Gás refrigerante R410A</t>
  </si>
  <si>
    <t>Fornecimento e instalação de um Access Point Coorporativo IntelBras AP310</t>
  </si>
  <si>
    <t>UND</t>
  </si>
  <si>
    <t>Barra chata em alumínio 7/8"x1/8" (70mm²), com furos diâmetro 7 mm ref. TEL-771, marca de referência Termotécnica ou equivalente</t>
  </si>
  <si>
    <t>Tabela : Labor/der-mercado
código base 160845</t>
  </si>
  <si>
    <t>ELETROTECNICO MONTADOR - SINTRACONST (LABOR)</t>
  </si>
  <si>
    <t xml:space="preserve">H </t>
  </si>
  <si>
    <t>Access Point Coorporativo IntelBras AP310</t>
  </si>
  <si>
    <t>AccessPoint</t>
  </si>
  <si>
    <t>Luminaria sobrepor compl., corpo ch. aço pintada branca, refletor, aletas parabólicas alum.alta pureza e refletância inclusive 2 lâmpadas LED T8 9W temp. de cor 5000k c/ 60cm - Ref. CS216AL-N - AMES, 663 - LUMAVI OU EQUIVALENTE</t>
  </si>
  <si>
    <r>
      <t>Endereço</t>
    </r>
    <r>
      <rPr>
        <sz val="11"/>
        <color theme="1"/>
        <rFont val="Calibri"/>
        <family val="2"/>
        <scheme val="minor"/>
      </rPr>
      <t xml:space="preserve">: </t>
    </r>
    <r>
      <rPr>
        <sz val="10"/>
        <rFont val="Arial"/>
        <family val="2"/>
      </rPr>
      <t>Rua Joel Feitoza, 413, Novo Horizonte</t>
    </r>
  </si>
  <si>
    <t>Portão de abrir</t>
  </si>
  <si>
    <t>Grade</t>
  </si>
  <si>
    <t>COMP- 03</t>
  </si>
  <si>
    <t>COMP- 02</t>
  </si>
  <si>
    <t>22.9</t>
  </si>
  <si>
    <t>BDI DIFERENCIADO</t>
  </si>
  <si>
    <t>Mini-Disjuntor monopolar 16 A, curva C - 5KA 220/127VCA (NBR IEC 60947-2), Ref. Siemens, GE,Schneider ou equivalente</t>
  </si>
  <si>
    <t>Luminaria sobrepor compl., corpo ch. aço pintada branca, refletor aletas parabólicas alum.alta pureza e refletância inclusive 2 lâmpadas LED T8 20W temp. de cor 5000k bivolt c/ 1,20m - Ref. CS232AL-N - AMES, 664 - LUMAVI OU EQUIVALENTE</t>
  </si>
  <si>
    <t>POSTE DECORATIVO PARA JARDIM EM AÇO TUBULAR, H = *2,5* M, SEM LUMINÁRIA - FORNECIMENTO E INSTALAÇÃO. AF_11/2019</t>
  </si>
  <si>
    <t>Fornecimento e Instalação de Unidade Evaporadora e Condensadora de Ar Condicionado tipo Split Inverter Piso Teto de 36.000 BTU´s 220V - Ciclo Quente/Frio Classificação Energética A ou B (Selo PROCEL),inclusive amortecedores vibra-stop</t>
  </si>
  <si>
    <t>Fornecimento e Instalação de Unidade Evaporadora e Condensadora de Ar Condicionado tipo Split Inverter Piso Teto de 48.000 BTU´s 220V Trifásico - Ciclo Quente/Frio Classificação Energética A ou B (Selo
PROCEL), inclusive amortecedores vibra-stop</t>
  </si>
  <si>
    <t>MAPA DE COTAÇÃO</t>
  </si>
  <si>
    <t>CODIGO</t>
  </si>
  <si>
    <t>CATEGORIA</t>
  </si>
  <si>
    <t>DESCRIÇÃO DO INSUMO</t>
  </si>
  <si>
    <t>Nº DE PREÇOS</t>
  </si>
  <si>
    <t>PREÇO MÉDIO</t>
  </si>
  <si>
    <t>MA</t>
  </si>
  <si>
    <t>un</t>
  </si>
  <si>
    <t>FORNECEDOR</t>
  </si>
  <si>
    <t>CNPJ</t>
  </si>
  <si>
    <t>CONTATO/EMAIL</t>
  </si>
  <si>
    <t>PREÇO</t>
  </si>
  <si>
    <t>CONSIDERADO</t>
  </si>
  <si>
    <t>OBSERVAÇÃO</t>
  </si>
  <si>
    <t>SIM</t>
  </si>
  <si>
    <t>Cotação internet</t>
  </si>
  <si>
    <t>DIGITAL LED LTDA</t>
  </si>
  <si>
    <t>21.813.474/0001-22</t>
  </si>
  <si>
    <t>https://www.digitalled.com.br/refletores-de-led/refletor-de-led-linear-para-campo-quadra-400w-ip68-flood-light-direcionavel?parceiro=5222&amp;gclid=CjwKCAjwkaSaBhA4EiwALBgQaGTeInQgQ6QNjQZaKyCiJGHyIJn7rCklV88c44QLIxE-OJAtEZrQdxoCXlIQAvD_BwE</t>
  </si>
  <si>
    <t>MAGAZINE LUIZA S/A</t>
  </si>
  <si>
    <t>47.960.950/0001-21</t>
  </si>
  <si>
    <t>https://www.magazineluiza.com.br/holofote-refletor-de-led-linear-torre-400w-ip68-branco-bivolt-rca/p/je8bc29f00/cj/rftr/?&amp;seller_id=pjiluminacao&amp;utm_source=google&amp;utm_medium=pla&amp;utm_campaign=&amp;partner_id=69579&amp;gclid=CjwKCAjwkaSaBhA4EiwALBgQaHbPJdyMiLMPOXRBEQ6AudJfCvENcsUP7BrLUHbqWwnD7V_j7U1wQRoCo5UQAvD_BwE&amp;gclsrc=aw.ds</t>
  </si>
  <si>
    <t>UN</t>
  </si>
  <si>
    <t>https://www.magazineluiza.com.br/access-point-coorporativo-300mbps-ap-310-bivolt-auto-modelo-4750008-intelbras/p/abg05k245b/in/sspt/?&amp;seller_id=mirandacomputacao&amp;utm_source=google&amp;utm_medium=pla&amp;utm_campaign=&amp;partner_id=65409&amp;gclid=CjwKCAjw_ISWBhBkEiwAdqxb9rtALjYVAc2nUC04sjKUvcVYJC7n8lJ9llk78nN52ZYv4XgCC7GA3hoCuxsQAvD_BwE&amp;gclsrc=aw.ds</t>
  </si>
  <si>
    <t>COTAÇÃO 07</t>
  </si>
  <si>
    <t>Cotação 02</t>
  </si>
  <si>
    <t>Cotação 7</t>
  </si>
  <si>
    <t xml:space="preserve">FORTLEV ENERGIA SOLAR LTDA </t>
  </si>
  <si>
    <t>32.270.838/0001-91</t>
  </si>
  <si>
    <t>contato@fortlevsolar.com.br</t>
  </si>
  <si>
    <t>Fornecimento</t>
  </si>
  <si>
    <t xml:space="preserve">FOTUS ENERGIA SOLAR LTDA </t>
  </si>
  <si>
    <t>07.117.654/0001-49</t>
  </si>
  <si>
    <t>(27)3320-8777</t>
  </si>
  <si>
    <t>PHB Eletrônica Ltda</t>
  </si>
  <si>
    <t>53.977.021/0001-28</t>
  </si>
  <si>
    <t>(11)3835-8300</t>
  </si>
  <si>
    <t>KIT Foto voltaico com potência instalada (Inversor) de 72kW, contendo 160 módulos e estrutura para montagem em telhado fibrocimento.</t>
  </si>
  <si>
    <t>COMP- 04</t>
  </si>
  <si>
    <t>Comp - 04</t>
  </si>
  <si>
    <t xml:space="preserve">Tabela : Labor/der-mercado
</t>
  </si>
  <si>
    <t xml:space="preserve">ELETRICISTA (OFICIAL - SINDUSCON) </t>
  </si>
  <si>
    <t xml:space="preserve">AJUDANTE (AJUDANTE PRATICO - SINDUSCON) </t>
  </si>
  <si>
    <t>CAMINHAO CARR MBENZ L1620/51 C/GUIND. 6T X M(E434)</t>
  </si>
  <si>
    <t>080170 DER INSUMO</t>
  </si>
  <si>
    <t>Disjuntor Compacto em caixa moldada tripolar 200 A, 50KA 220/240V / 25KA 380/415V 20KA/440V (NBR IEC 60947-2), Ref. Siemens, GE, Schneider ou equivalente</t>
  </si>
  <si>
    <t>1.1.10</t>
  </si>
  <si>
    <t>1.1.11</t>
  </si>
  <si>
    <t>1.1.12</t>
  </si>
  <si>
    <t>1.1.13</t>
  </si>
  <si>
    <t>Galpão para serraria e carpintaria área 12.00m2, em peça de madeira 8x8cm e contraventamento de 5x7cm, cobertura de telha de fibroc. de 6mm, inclusive ponto e cabo de alimentação da máquina, conf. projeto (1 utilização)</t>
  </si>
  <si>
    <t>Galpão para corte e armação com área de 6.00m2, em peças de madeira 8x8cm e contraventamento de 5x7cm, cobertura de telhas de fibroc. de 6mm, inclusive ponto e cabo de alimentação da máquina, conf. projeto (1 utilização)</t>
  </si>
  <si>
    <t>Barracão para almoxarifado área de 10.90m2, de chapa de compensado de 12mm e pontalete 8x8cm, piso cimentado e cobertura de telhas de fibrocimento de 6mm, incl. ponto de luz, conf. projeto (1 utilização</t>
  </si>
  <si>
    <t>Refeitório com paredes de chapa de compens. 12mm e pontaletes 8x8cm, piso ciment. e cob. de telhas fibroc. 6mm, incl. ponto de luz e cx. de inspeção (cons. 1.21 m2/func./turno), conf. projeto (1 utilização)</t>
  </si>
  <si>
    <t>Reservatório de poliestileno de 1000 L, incl. suporte em madeira de 7x12cm e 8x7cm, elevado de 4m, conf. projeto (1 utilização)</t>
  </si>
  <si>
    <t>6.1.5</t>
  </si>
  <si>
    <t>6.1.6</t>
  </si>
  <si>
    <t>Marco de madeira de lei de 1ª (Peroba, Ipê, Angelim Pedra ou equivalente) com 15x3 cm de batente, nas dimensões de 0.80 x 2.10</t>
  </si>
  <si>
    <t>Marco de madeira de lei de 1ª (Peroba, Ipê, Angelim Pedra ou equivalente)com 15 x 3 cm de batente</t>
  </si>
  <si>
    <t>17.7.2</t>
  </si>
  <si>
    <t>FORNECIMENTO DO KIT FOTOVOLTAICO</t>
  </si>
  <si>
    <t>INSTALAÇÃO DO KIT FOTOVOLTAICO</t>
  </si>
  <si>
    <t>COTAÇÃO</t>
  </si>
  <si>
    <t>INSTALAÇÃO  DO KIT FOTOVOLTAICO</t>
  </si>
  <si>
    <t>REFORMA QUADRA POLIESPORTIVA</t>
  </si>
  <si>
    <t>Remoção de pintura antiga a óleo ou esmalte</t>
  </si>
  <si>
    <t>Pintura com tinta acrílica Suvinil, Coral ou Metalatex, inclusive selador acrílico, em paredes externas a três demãos</t>
  </si>
  <si>
    <t>21.3.3</t>
  </si>
  <si>
    <t>21.3.4</t>
  </si>
  <si>
    <t>Fornecimento e instalação de CONTATOR no Quadro 02</t>
  </si>
  <si>
    <t>390 DIAS</t>
  </si>
  <si>
    <t>COTAÇÕES</t>
  </si>
  <si>
    <t>CÓD.</t>
  </si>
  <si>
    <t>DISCRIMINAÇÃO DO ITEM</t>
  </si>
  <si>
    <t>SITE - EMAIL - CONTATO</t>
  </si>
  <si>
    <t>DATA</t>
  </si>
  <si>
    <t>Amazon</t>
  </si>
  <si>
    <t>https://www.amazon.com.br/Access-Corporativo-Intelbras-Roteadores-Branca/dp/B077V83M34/ref=asc_df_B077V83M34/?tag=googleshopp00-20&amp;linkCode=df0&amp;hvadid=379817877038&amp;hvpos=&amp;hvnetw=g&amp;hvrand=13058979084620637979&amp;hvpone=&amp;hvptwo=&amp;hvqmt=&amp;hvdev=c&amp;hvdvcmdl=&amp;hvlocint=&amp;hvlocphy=1001544&amp;hvtargid=pla-811830116098&amp;psc=1</t>
  </si>
  <si>
    <t>https://www.magazineluiza.com.br/access-point-corporativo-300mbps-ap-310-bivolt-auto-modelo-4750008-intelbras/p/abg05k245b/in/sspt/?seller_id=mirandacomputacao&amp;utm_source=google&amp;utm_medium=pla&amp;utm_campaign=&amp;partner_id=65409&amp;gclid=CjwKCAjw_ISWBhBkEiwAdqxb9rtALjYVAc2nUC04sjKUvcVYJC7n8lJ9llk78nN52ZYv4XgCC7GA3hoCuxsQAvD_BwE&amp;gclsrc=aw.ds</t>
  </si>
  <si>
    <t>https://www.ledrj.com.br/iluminacao-esportiva/refletor-holofote-super-led-stadium-blindado-200w-ip-68-5-anos-de-garantia</t>
  </si>
  <si>
    <t>LED RJ</t>
  </si>
  <si>
    <t>https://www.magazineluiza.com.br/holofote-refletor-400w-de-led-linear-torre-ip68-branco-bivolt-led-ecologia/p/je8bc29f00/cj/rftr/?seller_id=pjiluminacao&amp;utm_source=google&amp;utm_medium=pla&amp;utm_campaign=&amp;partner_id=69579&amp;gclid=CjwKCAjwkaSaBhA4EiwALBgQaHbPJdyMiLMPOXRBEQ6AudJfCvENcsUP7BrLUHbqWwnD7V_j7U1wQRoCo5UQAvD_BwE&amp;gclsrc=aw.ds</t>
  </si>
  <si>
    <t>Magalu</t>
  </si>
  <si>
    <t>Digital LED</t>
  </si>
  <si>
    <t>42.220.678/0001-20</t>
  </si>
  <si>
    <t>23.429.903/0001-98</t>
  </si>
  <si>
    <t>COMERCIAL ILUMINIM LTDA.</t>
  </si>
  <si>
    <t>https://www.iluminim.com.br/mini-refletor-holofote-led-smd-200w-branco-frio-ip67?utm_source=Site&amp;utm_medium=GoogleMerchant&amp;utm_campaign=GoogleMerchant&amp;gad=1&amp;gclid=CjwKCAjwtuOlBhBREiwA7agf1hquCSW1jMdXItUvajZ6yKRjf143HUAKWXedTKX14-0cYK20ohcdtBoCZ7QQAvD_BwE</t>
  </si>
  <si>
    <t>https://www.arcoirisled.com.br/refletor-led-mini-floodlight-200w-branco-frio-ip67-82930?utm_source=Site&amp;utm_medium=GoogleMerchant&amp;utm_campaign=GoogleMerchant&amp;gad=1&amp;gclid=CjwKCAjwtuOlBhBREiwA7agf1o1UP8pT6l0uoH9vFLRYt9T9pMZcQWH5S-tkjIS8mCsWn3H-HeeHThoCbQUQAvD_BwE</t>
  </si>
  <si>
    <t>Arco Íris LED</t>
  </si>
  <si>
    <t>23.684.546/0001-04</t>
  </si>
  <si>
    <t>ARCO ÍRIS LED</t>
  </si>
  <si>
    <t>UPPER SEG</t>
  </si>
  <si>
    <t>https://www.upperseg.com.br/informatica/roteadores-wireless/roteadores/access-point-corporativo-roteador-wireless-com-gerenciamento-centralizado-ap-310-intelbras/?gclid=CjwKCAjwtuOlBhBREiwA7agf1t5h9E3azJR0BgvOwphWX4RV9D5Gk8ieH08G7tRcngPlgTFdV5VSIhoCBUoQAvD_BwE</t>
  </si>
  <si>
    <t>17.354.683/0001-88</t>
  </si>
  <si>
    <t>5.436.940/0001-03</t>
  </si>
  <si>
    <t>Fornecimento e instalação de reservatório metálico tipo taça de 30.000 litros pintura interna e externa com escada de acesso e base de concreto armado - areia e brita comerciais</t>
  </si>
  <si>
    <t>SICRO</t>
  </si>
  <si>
    <t>ES 50.05.0053 (A)</t>
  </si>
  <si>
    <t>Mastro metálico em tubo de ferro galvanizado de 3" com altura de 6m, equipado com roldana fixado em prisma de concreto de (30x30x50)cm, inclusive este, exclusive pintura.  Fornecimento e instalação.</t>
  </si>
  <si>
    <t>SCO-RIO</t>
  </si>
  <si>
    <r>
      <t>Obra</t>
    </r>
    <r>
      <rPr>
        <sz val="11"/>
        <color theme="1"/>
        <rFont val="Calibri"/>
        <family val="2"/>
        <scheme val="minor"/>
      </rPr>
      <t>: Reforma e Ampliação da EMEIEF SÃO MARCOS e Reforma da Quadra</t>
    </r>
  </si>
  <si>
    <r>
      <t>Obra</t>
    </r>
    <r>
      <rPr>
        <sz val="11"/>
        <color theme="1"/>
        <rFont val="Calibri"/>
        <family val="2"/>
        <scheme val="minor"/>
      </rPr>
      <t xml:space="preserve">: </t>
    </r>
    <r>
      <rPr>
        <sz val="10"/>
        <rFont val="Arial"/>
        <family val="2"/>
      </rPr>
      <t>Reforma e Ampliação da EMEIEF SÃO MARCOS e Reforma da Quadra</t>
    </r>
  </si>
  <si>
    <t>Revestimento metálico em alumínio composto (Alucobond ou similar) dobrado, e=0,3mm, na cor cobre, 1,00 nx 1,00m, exclusive estrutura metálica - fornecimento e montagem</t>
  </si>
  <si>
    <t>Plotagem de adesivo vinil em letreiro (c/aplicação)</t>
  </si>
  <si>
    <t>22.10</t>
  </si>
  <si>
    <t>Preço base:TABELA CUSTOS LABOR/CT-UFES PADRÃO DER /FEVEREIRO/2023- NÃO DESONERADA/ SINAPI FEVEREIRO 2023/ SICRO JANEIRO 2023/ SCO-RIO ABRIL 2023/ ORSE MAIO 2023</t>
  </si>
  <si>
    <r>
      <t>BDI=</t>
    </r>
    <r>
      <rPr>
        <b/>
        <u/>
        <sz val="10"/>
        <rFont val="Swis721 Cn BT"/>
        <family val="2"/>
      </rPr>
      <t xml:space="preserve"> (1 + AL + AC + RGS).(1 + CF).(1 + L) – 1</t>
    </r>
    <r>
      <rPr>
        <b/>
        <sz val="10"/>
        <rFont val="Swis721 Cn BT"/>
        <family val="2"/>
      </rPr>
      <t>=</t>
    </r>
  </si>
  <si>
    <t>(1-T)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</si>
</sst>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00"/>
    <numFmt numFmtId="166" formatCode="&quot;R$&quot;\ #,##0.00"/>
    <numFmt numFmtId="167" formatCode="#,##0.00\ ;\-#,##0.00\ ;&quot; -&quot;#\ ;@\ "/>
    <numFmt numFmtId="168" formatCode="[$-416]dddd\,\ d&quot; de &quot;mmmm&quot; de &quot;yyyy"/>
    <numFmt numFmtId="169" formatCode="_(&quot;R$ &quot;* #,##0.00_);_(&quot;R$ &quot;* \(#,##0.00\);_(&quot;R$ &quot;* &quot;-&quot;??_);_(@_)"/>
    <numFmt numFmtId="170" formatCode="&quot;R$ &quot;#,##0_);\(&quot;R$ &quot;#,##0\)"/>
    <numFmt numFmtId="171" formatCode="[=0]\-;[&lt;0.9999]?0.0%;0%"/>
    <numFmt numFmtId="172" formatCode="#,##0.000"/>
    <numFmt numFmtId="173" formatCode="#,##0.0000000"/>
  </numFmts>
  <fonts count="5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Swis721 BlkCn BT"/>
      <family val="2"/>
    </font>
    <font>
      <b/>
      <sz val="12"/>
      <name val="Swis721 BlkCn BT"/>
      <family val="2"/>
    </font>
    <font>
      <sz val="10"/>
      <name val="Swis721 Cn BT"/>
      <family val="2"/>
    </font>
    <font>
      <b/>
      <sz val="10"/>
      <name val="Swis721 Cn BT"/>
      <family val="2"/>
    </font>
    <font>
      <sz val="11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0" tint="-0.34998626667073579"/>
      <name val="Arial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rgb="FF000000"/>
      <name val="Arial1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rgb="FF0563C1"/>
      <name val="Calibri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Arial1"/>
    </font>
    <font>
      <sz val="10"/>
      <color theme="1"/>
      <name val="Arial1"/>
    </font>
    <font>
      <b/>
      <u/>
      <sz val="10"/>
      <name val="Swis721 Cn BT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FDFDF"/>
      </patternFill>
    </fill>
    <fill>
      <patternFill patternType="solid">
        <fgColor rgb="FFCFCFC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1"/>
        <bgColor indexed="26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41"/>
      </patternFill>
    </fill>
    <fill>
      <patternFill patternType="solid">
        <fgColor indexed="29"/>
        <bgColor indexed="45"/>
      </patternFill>
    </fill>
    <fill>
      <patternFill patternType="solid">
        <fgColor indexed="44"/>
        <b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22"/>
        <bgColor indexed="31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41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rgb="FFC8F38F"/>
        <bgColor indexed="34"/>
      </patternFill>
    </fill>
    <fill>
      <patternFill patternType="solid">
        <fgColor rgb="FFC8F38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8" tint="0.59999389629810485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30">
    <xf numFmtId="0" fontId="0" fillId="0" borderId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0" fillId="16" borderId="0" applyNumberFormat="0" applyBorder="0" applyAlignment="0" applyProtection="0"/>
    <xf numFmtId="0" fontId="20" fillId="11" borderId="0" applyNumberFormat="0" applyBorder="0" applyAlignment="0" applyProtection="0"/>
    <xf numFmtId="0" fontId="21" fillId="17" borderId="0" applyNumberFormat="0" applyBorder="0" applyAlignment="0" applyProtection="0"/>
    <xf numFmtId="0" fontId="21" fillId="15" borderId="0" applyNumberFormat="0" applyBorder="0" applyAlignment="0" applyProtection="0"/>
    <xf numFmtId="0" fontId="21" fillId="12" borderId="0" applyNumberFormat="0" applyBorder="0" applyAlignment="0" applyProtection="0"/>
    <xf numFmtId="0" fontId="21" fillId="18" borderId="0" applyNumberFormat="0" applyBorder="0" applyAlignment="0" applyProtection="0"/>
    <xf numFmtId="0" fontId="21" fillId="17" borderId="0" applyNumberFormat="0" applyBorder="0" applyAlignment="0" applyProtection="0"/>
    <xf numFmtId="0" fontId="21" fillId="11" borderId="0" applyNumberFormat="0" applyBorder="0" applyAlignment="0" applyProtection="0"/>
    <xf numFmtId="0" fontId="22" fillId="19" borderId="0" applyNumberFormat="0" applyBorder="0" applyAlignment="0" applyProtection="0"/>
    <xf numFmtId="0" fontId="23" fillId="20" borderId="37" applyNumberFormat="0" applyAlignment="0" applyProtection="0"/>
    <xf numFmtId="0" fontId="24" fillId="21" borderId="38" applyNumberFormat="0" applyAlignment="0" applyProtection="0"/>
    <xf numFmtId="0" fontId="25" fillId="0" borderId="39" applyNumberFormat="0" applyFill="0" applyAlignment="0" applyProtection="0"/>
    <xf numFmtId="0" fontId="21" fillId="17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6" fillId="11" borderId="37" applyNumberFormat="0" applyAlignment="0" applyProtection="0"/>
    <xf numFmtId="0" fontId="20" fillId="0" borderId="0"/>
    <xf numFmtId="0" fontId="20" fillId="0" borderId="0"/>
    <xf numFmtId="0" fontId="27" fillId="26" borderId="0" applyNumberFormat="0" applyBorder="0" applyAlignment="0" applyProtection="0"/>
    <xf numFmtId="0" fontId="28" fillId="12" borderId="0" applyNumberFormat="0" applyBorder="0" applyAlignment="0" applyProtection="0"/>
    <xf numFmtId="0" fontId="1" fillId="0" borderId="0"/>
    <xf numFmtId="0" fontId="11" fillId="0" borderId="0"/>
    <xf numFmtId="0" fontId="1" fillId="12" borderId="40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9" fillId="20" borderId="41" applyNumberFormat="0" applyAlignment="0" applyProtection="0"/>
    <xf numFmtId="167" fontId="20" fillId="0" borderId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42" applyNumberFormat="0" applyFill="0" applyAlignment="0" applyProtection="0"/>
    <xf numFmtId="0" fontId="34" fillId="0" borderId="43" applyNumberFormat="0" applyFill="0" applyAlignment="0" applyProtection="0"/>
    <xf numFmtId="0" fontId="35" fillId="0" borderId="44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45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ill="0" applyBorder="0" applyAlignment="0" applyProtection="0"/>
    <xf numFmtId="0" fontId="11" fillId="0" borderId="0" applyFont="0" applyFill="0" applyBorder="0" applyAlignment="0" applyProtection="0"/>
    <xf numFmtId="0" fontId="38" fillId="0" borderId="0" applyBorder="0" applyProtection="0"/>
    <xf numFmtId="44" fontId="1" fillId="0" borderId="0" applyFill="0" applyBorder="0" applyAlignment="0" applyProtection="0"/>
    <xf numFmtId="169" fontId="11" fillId="0" borderId="0" applyFont="0" applyFill="0" applyBorder="0" applyAlignment="0" applyProtection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7" fillId="0" borderId="46" applyNumberFormat="0" applyFill="0" applyAlignment="0" applyProtection="0"/>
    <xf numFmtId="0" fontId="37" fillId="0" borderId="46" applyNumberFormat="0" applyFill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4" fontId="20" fillId="0" borderId="0" applyFont="0" applyFill="0" applyBorder="0" applyAlignment="0" applyProtection="0"/>
  </cellStyleXfs>
  <cellXfs count="509">
    <xf numFmtId="0" fontId="0" fillId="0" borderId="0" xfId="0"/>
    <xf numFmtId="0" fontId="2" fillId="2" borderId="1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2" fillId="2" borderId="3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164" fontId="1" fillId="2" borderId="0" xfId="38" applyFont="1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left" vertical="center"/>
      <protection locked="0"/>
    </xf>
    <xf numFmtId="0" fontId="1" fillId="2" borderId="5" xfId="0" applyFont="1" applyFill="1" applyBorder="1" applyAlignment="1" applyProtection="1">
      <alignment horizontal="left" vertical="center"/>
      <protection locked="0"/>
    </xf>
    <xf numFmtId="0" fontId="1" fillId="2" borderId="5" xfId="0" applyFont="1" applyFill="1" applyBorder="1" applyAlignment="1" applyProtection="1">
      <alignment horizontal="center" vertical="center"/>
      <protection locked="0"/>
    </xf>
    <xf numFmtId="0" fontId="13" fillId="0" borderId="0" xfId="0" applyFont="1"/>
    <xf numFmtId="0" fontId="1" fillId="2" borderId="0" xfId="5" applyFill="1" applyAlignment="1" applyProtection="1">
      <alignment vertical="center"/>
      <protection locked="0"/>
    </xf>
    <xf numFmtId="0" fontId="1" fillId="2" borderId="0" xfId="5" applyFill="1" applyAlignment="1" applyProtection="1">
      <alignment horizontal="left" vertical="center"/>
      <protection locked="0"/>
    </xf>
    <xf numFmtId="0" fontId="1" fillId="2" borderId="0" xfId="5" applyFill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left" vertical="center"/>
      <protection locked="0"/>
    </xf>
    <xf numFmtId="164" fontId="1" fillId="2" borderId="2" xfId="38" applyFont="1" applyFill="1" applyBorder="1" applyAlignment="1" applyProtection="1">
      <alignment horizontal="right" vertical="center"/>
      <protection locked="0"/>
    </xf>
    <xf numFmtId="0" fontId="1" fillId="2" borderId="2" xfId="0" applyFont="1" applyFill="1" applyBorder="1" applyAlignment="1" applyProtection="1">
      <alignment horizontal="right" vertical="center"/>
      <protection locked="0"/>
    </xf>
    <xf numFmtId="0" fontId="1" fillId="2" borderId="2" xfId="0" applyFont="1" applyFill="1" applyBorder="1" applyAlignment="1" applyProtection="1">
      <alignment vertical="center"/>
      <protection locked="0"/>
    </xf>
    <xf numFmtId="0" fontId="1" fillId="2" borderId="6" xfId="0" applyFont="1" applyFill="1" applyBorder="1" applyAlignment="1" applyProtection="1">
      <alignment vertical="center"/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164" fontId="1" fillId="2" borderId="0" xfId="38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Alignment="1" applyProtection="1">
      <alignment horizontal="right"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1" fillId="2" borderId="7" xfId="0" applyFont="1" applyFill="1" applyBorder="1" applyAlignment="1" applyProtection="1">
      <alignment vertical="center"/>
      <protection locked="0"/>
    </xf>
    <xf numFmtId="0" fontId="2" fillId="2" borderId="5" xfId="0" applyFont="1" applyFill="1" applyBorder="1" applyAlignment="1" applyProtection="1">
      <alignment horizontal="left" vertical="center"/>
      <protection locked="0"/>
    </xf>
    <xf numFmtId="164" fontId="1" fillId="2" borderId="5" xfId="38" applyFont="1" applyFill="1" applyBorder="1" applyAlignment="1" applyProtection="1">
      <alignment horizontal="right" vertical="center"/>
      <protection locked="0"/>
    </xf>
    <xf numFmtId="0" fontId="1" fillId="2" borderId="5" xfId="0" applyFont="1" applyFill="1" applyBorder="1" applyAlignment="1" applyProtection="1">
      <alignment vertical="center"/>
      <protection locked="0"/>
    </xf>
    <xf numFmtId="0" fontId="1" fillId="2" borderId="8" xfId="0" applyFont="1" applyFill="1" applyBorder="1" applyAlignment="1" applyProtection="1">
      <alignment vertical="center"/>
      <protection locked="0"/>
    </xf>
    <xf numFmtId="0" fontId="1" fillId="2" borderId="0" xfId="5" applyFill="1" applyProtection="1">
      <protection locked="0"/>
    </xf>
    <xf numFmtId="0" fontId="14" fillId="3" borderId="23" xfId="0" applyFont="1" applyFill="1" applyBorder="1" applyAlignment="1">
      <alignment horizontal="center" vertical="center" wrapText="1"/>
    </xf>
    <xf numFmtId="0" fontId="1" fillId="2" borderId="0" xfId="5" applyFill="1" applyAlignment="1" applyProtection="1">
      <alignment horizontal="left" vertical="center" indent="1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2" fillId="2" borderId="7" xfId="0" applyFont="1" applyFill="1" applyBorder="1" applyAlignment="1" applyProtection="1">
      <alignment horizontal="left" vertical="center"/>
      <protection locked="0"/>
    </xf>
    <xf numFmtId="0" fontId="2" fillId="2" borderId="8" xfId="0" applyFont="1" applyFill="1" applyBorder="1" applyAlignment="1" applyProtection="1">
      <alignment horizontal="left" vertical="center"/>
      <protection locked="0"/>
    </xf>
    <xf numFmtId="0" fontId="0" fillId="2" borderId="0" xfId="0" applyFill="1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6" fillId="0" borderId="23" xfId="0" applyFont="1" applyBorder="1" applyAlignment="1">
      <alignment horizontal="center" vertical="center" wrapText="1"/>
    </xf>
    <xf numFmtId="4" fontId="16" fillId="0" borderId="23" xfId="0" applyNumberFormat="1" applyFont="1" applyBorder="1" applyAlignment="1">
      <alignment horizontal="righ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164" fontId="1" fillId="2" borderId="0" xfId="38" applyFont="1" applyFill="1" applyAlignment="1" applyProtection="1">
      <alignment horizontal="center" vertical="center"/>
      <protection locked="0"/>
    </xf>
    <xf numFmtId="164" fontId="1" fillId="2" borderId="0" xfId="38" applyFont="1" applyFill="1" applyAlignment="1" applyProtection="1">
      <alignment horizontal="right" vertical="center" indent="1"/>
      <protection locked="0"/>
    </xf>
    <xf numFmtId="0" fontId="1" fillId="2" borderId="0" xfId="0" applyFont="1" applyFill="1" applyAlignment="1" applyProtection="1">
      <alignment horizontal="right" vertical="center" indent="1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164" fontId="1" fillId="2" borderId="2" xfId="38" applyFont="1" applyFill="1" applyBorder="1" applyAlignment="1" applyProtection="1">
      <alignment horizontal="center" vertical="center"/>
      <protection locked="0"/>
    </xf>
    <xf numFmtId="164" fontId="1" fillId="2" borderId="2" xfId="38" applyFont="1" applyFill="1" applyBorder="1" applyAlignment="1" applyProtection="1">
      <alignment horizontal="right" vertical="center" indent="1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164" fontId="1" fillId="2" borderId="0" xfId="38" applyFont="1" applyFill="1" applyBorder="1" applyAlignment="1" applyProtection="1">
      <alignment horizontal="right" vertical="center" indent="1"/>
      <protection locked="0"/>
    </xf>
    <xf numFmtId="0" fontId="1" fillId="2" borderId="7" xfId="0" applyFont="1" applyFill="1" applyBorder="1" applyAlignment="1" applyProtection="1">
      <alignment horizontal="right" vertical="center" indent="1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164" fontId="1" fillId="2" borderId="5" xfId="38" applyFont="1" applyFill="1" applyBorder="1" applyAlignment="1" applyProtection="1">
      <alignment horizontal="center" vertical="center"/>
      <protection locked="0"/>
    </xf>
    <xf numFmtId="164" fontId="1" fillId="2" borderId="5" xfId="38" applyFont="1" applyFill="1" applyBorder="1" applyAlignment="1" applyProtection="1">
      <alignment horizontal="right" vertical="center" indent="1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14" fillId="4" borderId="27" xfId="0" applyFont="1" applyFill="1" applyBorder="1" applyAlignment="1">
      <alignment horizontal="center" vertical="center" wrapText="1"/>
    </xf>
    <xf numFmtId="0" fontId="14" fillId="4" borderId="28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14" fillId="4" borderId="29" xfId="0" applyFont="1" applyFill="1" applyBorder="1" applyAlignment="1">
      <alignment horizontal="center" vertical="center" wrapText="1"/>
    </xf>
    <xf numFmtId="10" fontId="16" fillId="0" borderId="24" xfId="33" applyNumberFormat="1" applyFont="1" applyFill="1" applyBorder="1" applyAlignment="1" applyProtection="1">
      <alignment horizontal="right" vertical="center" wrapText="1"/>
    </xf>
    <xf numFmtId="4" fontId="16" fillId="7" borderId="23" xfId="0" applyNumberFormat="1" applyFont="1" applyFill="1" applyBorder="1" applyAlignment="1">
      <alignment horizontal="right" vertical="center" wrapText="1"/>
    </xf>
    <xf numFmtId="0" fontId="13" fillId="7" borderId="30" xfId="0" applyFont="1" applyFill="1" applyBorder="1" applyAlignment="1" applyProtection="1">
      <alignment wrapText="1"/>
      <protection locked="0"/>
    </xf>
    <xf numFmtId="4" fontId="16" fillId="7" borderId="24" xfId="0" applyNumberFormat="1" applyFont="1" applyFill="1" applyBorder="1" applyAlignment="1">
      <alignment horizontal="right" vertical="center" wrapText="1"/>
    </xf>
    <xf numFmtId="0" fontId="13" fillId="7" borderId="31" xfId="0" applyFont="1" applyFill="1" applyBorder="1" applyAlignment="1" applyProtection="1">
      <alignment wrapText="1"/>
      <protection locked="0"/>
    </xf>
    <xf numFmtId="0" fontId="11" fillId="0" borderId="0" xfId="3" applyAlignment="1">
      <alignment vertical="center" wrapText="1"/>
    </xf>
    <xf numFmtId="0" fontId="1" fillId="2" borderId="3" xfId="5" applyFill="1" applyBorder="1" applyAlignment="1" applyProtection="1">
      <alignment vertical="center" wrapText="1"/>
      <protection locked="0"/>
    </xf>
    <xf numFmtId="0" fontId="1" fillId="2" borderId="0" xfId="5" applyFill="1" applyAlignment="1" applyProtection="1">
      <alignment vertical="center" wrapText="1"/>
      <protection locked="0"/>
    </xf>
    <xf numFmtId="0" fontId="1" fillId="2" borderId="0" xfId="5" applyFill="1" applyAlignment="1" applyProtection="1">
      <alignment horizontal="left" vertical="center" wrapText="1"/>
      <protection locked="0"/>
    </xf>
    <xf numFmtId="0" fontId="13" fillId="2" borderId="0" xfId="3" applyFont="1" applyFill="1" applyAlignment="1">
      <alignment vertical="center" wrapText="1"/>
    </xf>
    <xf numFmtId="0" fontId="11" fillId="0" borderId="7" xfId="3" applyBorder="1" applyAlignment="1">
      <alignment vertical="center" wrapText="1"/>
    </xf>
    <xf numFmtId="0" fontId="11" fillId="8" borderId="14" xfId="3" applyFill="1" applyBorder="1" applyAlignment="1">
      <alignment horizontal="right" wrapText="1"/>
    </xf>
    <xf numFmtId="0" fontId="11" fillId="0" borderId="2" xfId="3" applyBorder="1"/>
    <xf numFmtId="0" fontId="11" fillId="8" borderId="2" xfId="3" applyFill="1" applyBorder="1" applyAlignment="1">
      <alignment horizontal="right" wrapText="1"/>
    </xf>
    <xf numFmtId="0" fontId="11" fillId="0" borderId="2" xfId="3" applyBorder="1" applyAlignment="1">
      <alignment wrapText="1"/>
    </xf>
    <xf numFmtId="0" fontId="11" fillId="8" borderId="2" xfId="3" applyFill="1" applyBorder="1" applyAlignment="1">
      <alignment wrapText="1"/>
    </xf>
    <xf numFmtId="0" fontId="11" fillId="8" borderId="15" xfId="3" applyFill="1" applyBorder="1" applyAlignment="1">
      <alignment horizontal="right" wrapText="1"/>
    </xf>
    <xf numFmtId="0" fontId="11" fillId="8" borderId="0" xfId="3" applyFill="1" applyAlignment="1">
      <alignment wrapText="1"/>
    </xf>
    <xf numFmtId="0" fontId="11" fillId="8" borderId="7" xfId="3" applyFill="1" applyBorder="1" applyAlignment="1">
      <alignment wrapText="1"/>
    </xf>
    <xf numFmtId="0" fontId="11" fillId="8" borderId="16" xfId="3" applyFill="1" applyBorder="1" applyAlignment="1">
      <alignment horizontal="right" wrapText="1"/>
    </xf>
    <xf numFmtId="0" fontId="11" fillId="8" borderId="5" xfId="3" applyFill="1" applyBorder="1" applyAlignment="1">
      <alignment wrapText="1"/>
    </xf>
    <xf numFmtId="0" fontId="11" fillId="8" borderId="8" xfId="3" applyFill="1" applyBorder="1" applyAlignment="1">
      <alignment wrapText="1"/>
    </xf>
    <xf numFmtId="0" fontId="11" fillId="0" borderId="0" xfId="3"/>
    <xf numFmtId="0" fontId="12" fillId="8" borderId="23" xfId="3" applyFont="1" applyFill="1" applyBorder="1" applyAlignment="1">
      <alignment wrapText="1"/>
    </xf>
    <xf numFmtId="0" fontId="12" fillId="8" borderId="23" xfId="3" applyFont="1" applyFill="1" applyBorder="1" applyAlignment="1">
      <alignment horizontal="center" wrapText="1"/>
    </xf>
    <xf numFmtId="0" fontId="12" fillId="8" borderId="23" xfId="3" applyFont="1" applyFill="1" applyBorder="1" applyAlignment="1">
      <alignment horizontal="right" wrapText="1"/>
    </xf>
    <xf numFmtId="0" fontId="11" fillId="0" borderId="23" xfId="3" applyBorder="1" applyAlignment="1">
      <alignment horizontal="left" vertical="top" wrapText="1"/>
    </xf>
    <xf numFmtId="0" fontId="11" fillId="0" borderId="23" xfId="3" applyBorder="1" applyAlignment="1">
      <alignment horizontal="center" vertical="top" wrapText="1"/>
    </xf>
    <xf numFmtId="0" fontId="11" fillId="0" borderId="23" xfId="3" applyBorder="1" applyAlignment="1">
      <alignment horizontal="right" vertical="top" wrapText="1"/>
    </xf>
    <xf numFmtId="165" fontId="11" fillId="0" borderId="23" xfId="37" applyNumberFormat="1" applyFont="1" applyBorder="1" applyAlignment="1">
      <alignment horizontal="right" vertical="top" wrapText="1"/>
    </xf>
    <xf numFmtId="44" fontId="12" fillId="0" borderId="23" xfId="1" applyFont="1" applyBorder="1" applyAlignment="1">
      <alignment horizontal="right" wrapText="1"/>
    </xf>
    <xf numFmtId="165" fontId="11" fillId="0" borderId="23" xfId="3" applyNumberFormat="1" applyBorder="1" applyAlignment="1">
      <alignment horizontal="right" vertical="top" wrapText="1"/>
    </xf>
    <xf numFmtId="43" fontId="11" fillId="0" borderId="23" xfId="37" applyFont="1" applyBorder="1" applyAlignment="1">
      <alignment horizontal="right" wrapText="1"/>
    </xf>
    <xf numFmtId="0" fontId="1" fillId="0" borderId="23" xfId="0" applyFont="1" applyBorder="1" applyAlignment="1">
      <alignment horizontal="left" vertical="center" wrapText="1"/>
    </xf>
    <xf numFmtId="43" fontId="11" fillId="0" borderId="23" xfId="36" applyFill="1" applyBorder="1" applyAlignment="1">
      <alignment horizontal="right" vertical="top" wrapText="1"/>
    </xf>
    <xf numFmtId="43" fontId="11" fillId="0" borderId="23" xfId="3" applyNumberFormat="1" applyBorder="1" applyAlignment="1">
      <alignment horizontal="right" vertical="top" wrapText="1"/>
    </xf>
    <xf numFmtId="0" fontId="1" fillId="0" borderId="23" xfId="0" applyFont="1" applyBorder="1" applyAlignment="1">
      <alignment horizontal="center" vertical="center" wrapText="1"/>
    </xf>
    <xf numFmtId="164" fontId="1" fillId="2" borderId="11" xfId="38" applyFont="1" applyFill="1" applyBorder="1" applyAlignment="1" applyProtection="1">
      <alignment vertical="center"/>
      <protection locked="0"/>
    </xf>
    <xf numFmtId="0" fontId="16" fillId="0" borderId="23" xfId="0" applyFont="1" applyBorder="1" applyAlignment="1">
      <alignment horizontal="left" vertical="center" wrapText="1"/>
    </xf>
    <xf numFmtId="0" fontId="13" fillId="0" borderId="0" xfId="23" applyFont="1"/>
    <xf numFmtId="0" fontId="13" fillId="0" borderId="0" xfId="23" applyFont="1" applyAlignment="1" applyProtection="1">
      <alignment wrapText="1"/>
      <protection locked="0"/>
    </xf>
    <xf numFmtId="0" fontId="13" fillId="0" borderId="0" xfId="24" applyFont="1"/>
    <xf numFmtId="0" fontId="13" fillId="0" borderId="0" xfId="24" applyFont="1" applyAlignment="1" applyProtection="1">
      <alignment horizontal="left" vertical="top" wrapText="1"/>
      <protection locked="0"/>
    </xf>
    <xf numFmtId="0" fontId="1" fillId="2" borderId="0" xfId="24" applyFont="1" applyFill="1" applyAlignment="1" applyProtection="1">
      <alignment horizontal="center" vertical="center"/>
      <protection locked="0"/>
    </xf>
    <xf numFmtId="0" fontId="1" fillId="2" borderId="0" xfId="24" applyFont="1" applyFill="1" applyAlignment="1" applyProtection="1">
      <alignment horizontal="left" vertical="center"/>
      <protection locked="0"/>
    </xf>
    <xf numFmtId="0" fontId="2" fillId="2" borderId="0" xfId="24" applyFont="1" applyFill="1" applyAlignment="1" applyProtection="1">
      <alignment horizontal="left" vertical="center"/>
      <protection locked="0"/>
    </xf>
    <xf numFmtId="0" fontId="1" fillId="2" borderId="8" xfId="24" applyFont="1" applyFill="1" applyBorder="1" applyAlignment="1" applyProtection="1">
      <alignment horizontal="center" vertical="center"/>
      <protection locked="0"/>
    </xf>
    <xf numFmtId="0" fontId="1" fillId="2" borderId="5" xfId="24" applyFont="1" applyFill="1" applyBorder="1" applyAlignment="1" applyProtection="1">
      <alignment horizontal="center" vertical="center"/>
      <protection locked="0"/>
    </xf>
    <xf numFmtId="0" fontId="1" fillId="2" borderId="5" xfId="24" applyFont="1" applyFill="1" applyBorder="1" applyAlignment="1" applyProtection="1">
      <alignment horizontal="left" vertical="center"/>
      <protection locked="0"/>
    </xf>
    <xf numFmtId="0" fontId="2" fillId="2" borderId="5" xfId="24" applyFont="1" applyFill="1" applyBorder="1" applyAlignment="1" applyProtection="1">
      <alignment horizontal="left" vertical="center"/>
      <protection locked="0"/>
    </xf>
    <xf numFmtId="0" fontId="2" fillId="2" borderId="4" xfId="24" applyFont="1" applyFill="1" applyBorder="1" applyAlignment="1" applyProtection="1">
      <alignment horizontal="left" vertical="center"/>
      <protection locked="0"/>
    </xf>
    <xf numFmtId="0" fontId="1" fillId="2" borderId="7" xfId="24" applyFont="1" applyFill="1" applyBorder="1" applyAlignment="1" applyProtection="1">
      <alignment horizontal="center" vertical="center"/>
      <protection locked="0"/>
    </xf>
    <xf numFmtId="0" fontId="2" fillId="2" borderId="3" xfId="24" applyFont="1" applyFill="1" applyBorder="1" applyAlignment="1" applyProtection="1">
      <alignment horizontal="left" vertical="center"/>
      <protection locked="0"/>
    </xf>
    <xf numFmtId="0" fontId="1" fillId="2" borderId="6" xfId="24" applyFont="1" applyFill="1" applyBorder="1" applyAlignment="1" applyProtection="1">
      <alignment horizontal="center" vertical="center"/>
      <protection locked="0"/>
    </xf>
    <xf numFmtId="0" fontId="1" fillId="2" borderId="2" xfId="24" applyFont="1" applyFill="1" applyBorder="1" applyAlignment="1" applyProtection="1">
      <alignment horizontal="center" vertical="center"/>
      <protection locked="0"/>
    </xf>
    <xf numFmtId="0" fontId="1" fillId="2" borderId="2" xfId="24" applyFont="1" applyFill="1" applyBorder="1" applyAlignment="1" applyProtection="1">
      <alignment horizontal="left" vertical="center"/>
      <protection locked="0"/>
    </xf>
    <xf numFmtId="0" fontId="2" fillId="2" borderId="2" xfId="24" applyFont="1" applyFill="1" applyBorder="1" applyAlignment="1" applyProtection="1">
      <alignment horizontal="left" vertical="center"/>
      <protection locked="0"/>
    </xf>
    <xf numFmtId="0" fontId="2" fillId="2" borderId="1" xfId="24" applyFont="1" applyFill="1" applyBorder="1" applyAlignment="1" applyProtection="1">
      <alignment horizontal="left" vertical="center"/>
      <protection locked="0"/>
    </xf>
    <xf numFmtId="0" fontId="13" fillId="0" borderId="0" xfId="0" applyFont="1" applyAlignment="1" applyProtection="1">
      <alignment wrapText="1"/>
      <protection locked="0"/>
    </xf>
    <xf numFmtId="0" fontId="14" fillId="0" borderId="0" xfId="0" applyFont="1" applyAlignment="1" applyProtection="1">
      <alignment horizontal="center" vertical="center" wrapText="1"/>
      <protection locked="0"/>
    </xf>
    <xf numFmtId="4" fontId="16" fillId="0" borderId="0" xfId="0" applyNumberFormat="1" applyFont="1" applyAlignment="1">
      <alignment horizontal="right" vertical="center" wrapText="1"/>
    </xf>
    <xf numFmtId="4" fontId="14" fillId="0" borderId="0" xfId="0" applyNumberFormat="1" applyFont="1" applyAlignment="1">
      <alignment horizontal="center" vertical="center" wrapText="1"/>
    </xf>
    <xf numFmtId="164" fontId="18" fillId="2" borderId="17" xfId="38" applyFont="1" applyFill="1" applyBorder="1" applyAlignment="1" applyProtection="1">
      <alignment vertical="center"/>
      <protection locked="0"/>
    </xf>
    <xf numFmtId="0" fontId="0" fillId="0" borderId="23" xfId="3" applyFont="1" applyBorder="1" applyAlignment="1">
      <alignment horizontal="left" vertical="top" wrapText="1"/>
    </xf>
    <xf numFmtId="0" fontId="0" fillId="0" borderId="23" xfId="3" applyFont="1" applyBorder="1" applyAlignment="1">
      <alignment horizontal="center" vertical="top" wrapText="1"/>
    </xf>
    <xf numFmtId="0" fontId="11" fillId="0" borderId="0" xfId="3" applyAlignment="1">
      <alignment wrapText="1"/>
    </xf>
    <xf numFmtId="0" fontId="0" fillId="0" borderId="5" xfId="3" applyFont="1" applyBorder="1"/>
    <xf numFmtId="0" fontId="2" fillId="9" borderId="23" xfId="0" applyFont="1" applyFill="1" applyBorder="1" applyAlignment="1">
      <alignment horizontal="left" vertical="center" wrapText="1"/>
    </xf>
    <xf numFmtId="4" fontId="14" fillId="9" borderId="23" xfId="0" applyNumberFormat="1" applyFont="1" applyFill="1" applyBorder="1" applyAlignment="1">
      <alignment horizontal="right" vertical="center" wrapText="1"/>
    </xf>
    <xf numFmtId="0" fontId="13" fillId="9" borderId="0" xfId="0" applyFont="1" applyFill="1"/>
    <xf numFmtId="0" fontId="14" fillId="9" borderId="23" xfId="0" applyFont="1" applyFill="1" applyBorder="1" applyAlignment="1">
      <alignment horizontal="left" vertical="center" wrapText="1"/>
    </xf>
    <xf numFmtId="0" fontId="15" fillId="9" borderId="23" xfId="0" applyFont="1" applyFill="1" applyBorder="1" applyAlignment="1" applyProtection="1">
      <alignment vertical="center" wrapText="1"/>
      <protection locked="0"/>
    </xf>
    <xf numFmtId="0" fontId="14" fillId="9" borderId="23" xfId="0" applyFont="1" applyFill="1" applyBorder="1" applyAlignment="1" applyProtection="1">
      <alignment vertical="center" wrapText="1"/>
      <protection locked="0"/>
    </xf>
    <xf numFmtId="4" fontId="14" fillId="9" borderId="23" xfId="0" applyNumberFormat="1" applyFont="1" applyFill="1" applyBorder="1" applyAlignment="1" applyProtection="1">
      <alignment vertical="center" wrapText="1"/>
      <protection locked="0"/>
    </xf>
    <xf numFmtId="0" fontId="14" fillId="9" borderId="23" xfId="0" applyFont="1" applyFill="1" applyBorder="1" applyAlignment="1" applyProtection="1">
      <alignment horizontal="left" vertical="center" wrapText="1"/>
      <protection locked="0"/>
    </xf>
    <xf numFmtId="0" fontId="1" fillId="9" borderId="23" xfId="0" applyFont="1" applyFill="1" applyBorder="1" applyAlignment="1">
      <alignment horizontal="left" vertical="center" wrapText="1"/>
    </xf>
    <xf numFmtId="0" fontId="15" fillId="9" borderId="24" xfId="0" applyFont="1" applyFill="1" applyBorder="1" applyAlignment="1" applyProtection="1">
      <alignment vertical="center" wrapText="1"/>
      <protection locked="0"/>
    </xf>
    <xf numFmtId="0" fontId="14" fillId="9" borderId="25" xfId="0" applyFont="1" applyFill="1" applyBorder="1" applyAlignment="1" applyProtection="1">
      <alignment horizontal="left" vertical="center" wrapText="1"/>
      <protection locked="0"/>
    </xf>
    <xf numFmtId="0" fontId="2" fillId="3" borderId="23" xfId="0" applyFont="1" applyFill="1" applyBorder="1" applyAlignment="1">
      <alignment horizontal="center" vertical="center" wrapText="1"/>
    </xf>
    <xf numFmtId="166" fontId="13" fillId="0" borderId="0" xfId="0" applyNumberFormat="1" applyFont="1" applyAlignment="1">
      <alignment vertical="center"/>
    </xf>
    <xf numFmtId="166" fontId="1" fillId="2" borderId="0" xfId="5" applyNumberFormat="1" applyFill="1" applyAlignment="1" applyProtection="1">
      <alignment vertical="center"/>
      <protection locked="0"/>
    </xf>
    <xf numFmtId="166" fontId="2" fillId="2" borderId="2" xfId="0" applyNumberFormat="1" applyFont="1" applyFill="1" applyBorder="1" applyAlignment="1" applyProtection="1">
      <alignment vertical="center"/>
      <protection locked="0"/>
    </xf>
    <xf numFmtId="166" fontId="2" fillId="2" borderId="0" xfId="0" applyNumberFormat="1" applyFont="1" applyFill="1" applyAlignment="1" applyProtection="1">
      <alignment vertical="center"/>
      <protection locked="0"/>
    </xf>
    <xf numFmtId="166" fontId="2" fillId="2" borderId="5" xfId="0" applyNumberFormat="1" applyFont="1" applyFill="1" applyBorder="1" applyAlignment="1" applyProtection="1">
      <alignment vertical="center"/>
      <protection locked="0"/>
    </xf>
    <xf numFmtId="166" fontId="14" fillId="3" borderId="23" xfId="0" applyNumberFormat="1" applyFont="1" applyFill="1" applyBorder="1" applyAlignment="1">
      <alignment vertical="center" wrapText="1"/>
    </xf>
    <xf numFmtId="166" fontId="14" fillId="0" borderId="0" xfId="0" applyNumberFormat="1" applyFont="1" applyAlignment="1" applyProtection="1">
      <alignment vertical="center" wrapText="1"/>
      <protection locked="0"/>
    </xf>
    <xf numFmtId="10" fontId="1" fillId="2" borderId="17" xfId="33" applyNumberFormat="1" applyFont="1" applyFill="1" applyBorder="1" applyAlignment="1" applyProtection="1">
      <alignment horizontal="center" vertical="center"/>
      <protection locked="0"/>
    </xf>
    <xf numFmtId="0" fontId="0" fillId="0" borderId="6" xfId="3" applyFont="1" applyBorder="1" applyAlignment="1">
      <alignment horizontal="center"/>
    </xf>
    <xf numFmtId="166" fontId="13" fillId="0" borderId="0" xfId="0" applyNumberFormat="1" applyFont="1"/>
    <xf numFmtId="4" fontId="17" fillId="0" borderId="25" xfId="23" applyNumberFormat="1" applyFont="1" applyBorder="1" applyAlignment="1">
      <alignment horizontal="right" vertical="center" wrapText="1"/>
    </xf>
    <xf numFmtId="4" fontId="3" fillId="0" borderId="13" xfId="23" applyNumberFormat="1" applyFont="1" applyBorder="1" applyAlignment="1" applyProtection="1">
      <alignment horizontal="center" vertical="center" wrapText="1"/>
      <protection locked="0"/>
    </xf>
    <xf numFmtId="4" fontId="3" fillId="0" borderId="22" xfId="23" applyNumberFormat="1" applyFont="1" applyBorder="1" applyAlignment="1" applyProtection="1">
      <alignment horizontal="center" vertical="center" wrapText="1"/>
      <protection locked="0"/>
    </xf>
    <xf numFmtId="4" fontId="7" fillId="2" borderId="0" xfId="0" applyNumberFormat="1" applyFont="1" applyFill="1"/>
    <xf numFmtId="0" fontId="11" fillId="0" borderId="23" xfId="3" applyBorder="1" applyAlignment="1">
      <alignment vertical="center" wrapText="1"/>
    </xf>
    <xf numFmtId="0" fontId="11" fillId="0" borderId="23" xfId="3" applyBorder="1" applyAlignment="1">
      <alignment horizontal="right" vertical="center" wrapText="1"/>
    </xf>
    <xf numFmtId="4" fontId="17" fillId="28" borderId="23" xfId="23" applyNumberFormat="1" applyFont="1" applyFill="1" applyBorder="1" applyAlignment="1">
      <alignment horizontal="right" vertical="center" wrapText="1"/>
    </xf>
    <xf numFmtId="4" fontId="13" fillId="0" borderId="0" xfId="0" applyNumberFormat="1" applyFont="1"/>
    <xf numFmtId="2" fontId="1" fillId="0" borderId="48" xfId="0" applyNumberFormat="1" applyFont="1" applyBorder="1" applyAlignment="1">
      <alignment horizontal="right" indent="4"/>
    </xf>
    <xf numFmtId="0" fontId="7" fillId="2" borderId="0" xfId="0" applyFont="1" applyFill="1"/>
    <xf numFmtId="0" fontId="1" fillId="2" borderId="0" xfId="0" applyFont="1" applyFill="1"/>
    <xf numFmtId="0" fontId="2" fillId="0" borderId="48" xfId="0" applyFont="1" applyBorder="1" applyAlignment="1">
      <alignment horizontal="center"/>
    </xf>
    <xf numFmtId="0" fontId="13" fillId="0" borderId="23" xfId="0" applyFont="1" applyBorder="1"/>
    <xf numFmtId="0" fontId="13" fillId="0" borderId="23" xfId="0" applyFont="1" applyBorder="1" applyAlignment="1">
      <alignment horizontal="center"/>
    </xf>
    <xf numFmtId="0" fontId="13" fillId="0" borderId="23" xfId="0" applyFont="1" applyBorder="1" applyAlignment="1">
      <alignment wrapText="1"/>
    </xf>
    <xf numFmtId="0" fontId="2" fillId="3" borderId="23" xfId="0" applyFont="1" applyFill="1" applyBorder="1" applyAlignment="1">
      <alignment horizontal="left" vertical="center" wrapText="1"/>
    </xf>
    <xf numFmtId="0" fontId="40" fillId="3" borderId="23" xfId="0" applyFont="1" applyFill="1" applyBorder="1" applyAlignment="1" applyProtection="1">
      <alignment horizontal="center" vertical="center" wrapText="1"/>
      <protection locked="0"/>
    </xf>
    <xf numFmtId="0" fontId="14" fillId="3" borderId="23" xfId="0" applyFont="1" applyFill="1" applyBorder="1" applyAlignment="1" applyProtection="1">
      <alignment vertical="center" wrapText="1"/>
      <protection locked="0"/>
    </xf>
    <xf numFmtId="4" fontId="16" fillId="3" borderId="23" xfId="0" applyNumberFormat="1" applyFont="1" applyFill="1" applyBorder="1" applyAlignment="1">
      <alignment horizontal="right" vertical="center" wrapText="1"/>
    </xf>
    <xf numFmtId="0" fontId="14" fillId="3" borderId="23" xfId="0" applyFont="1" applyFill="1" applyBorder="1" applyAlignment="1" applyProtection="1">
      <alignment horizontal="left" vertical="center" wrapText="1"/>
      <protection locked="0"/>
    </xf>
    <xf numFmtId="4" fontId="14" fillId="3" borderId="23" xfId="0" applyNumberFormat="1" applyFont="1" applyFill="1" applyBorder="1" applyAlignment="1">
      <alignment horizontal="right" vertical="center" wrapText="1"/>
    </xf>
    <xf numFmtId="0" fontId="13" fillId="2" borderId="23" xfId="0" applyFont="1" applyFill="1" applyBorder="1" applyAlignment="1">
      <alignment horizontal="left" vertical="center" wrapText="1"/>
    </xf>
    <xf numFmtId="4" fontId="13" fillId="2" borderId="23" xfId="0" applyNumberFormat="1" applyFont="1" applyFill="1" applyBorder="1" applyAlignment="1">
      <alignment horizontal="right" vertical="center" wrapText="1"/>
    </xf>
    <xf numFmtId="0" fontId="19" fillId="3" borderId="23" xfId="0" applyFont="1" applyFill="1" applyBorder="1" applyAlignment="1">
      <alignment horizontal="left" vertical="center" wrapText="1"/>
    </xf>
    <xf numFmtId="0" fontId="19" fillId="3" borderId="23" xfId="0" applyFont="1" applyFill="1" applyBorder="1" applyAlignment="1" applyProtection="1">
      <alignment horizontal="center" vertical="center" wrapText="1"/>
      <protection locked="0"/>
    </xf>
    <xf numFmtId="0" fontId="19" fillId="3" borderId="23" xfId="0" applyFont="1" applyFill="1" applyBorder="1" applyAlignment="1" applyProtection="1">
      <alignment vertical="center" wrapText="1"/>
      <protection locked="0"/>
    </xf>
    <xf numFmtId="4" fontId="13" fillId="3" borderId="23" xfId="0" applyNumberFormat="1" applyFont="1" applyFill="1" applyBorder="1" applyAlignment="1">
      <alignment horizontal="right" vertical="center" wrapText="1"/>
    </xf>
    <xf numFmtId="0" fontId="19" fillId="3" borderId="23" xfId="0" applyFont="1" applyFill="1" applyBorder="1" applyAlignment="1" applyProtection="1">
      <alignment horizontal="left" vertical="center" wrapText="1"/>
      <protection locked="0"/>
    </xf>
    <xf numFmtId="4" fontId="19" fillId="3" borderId="23" xfId="0" applyNumberFormat="1" applyFont="1" applyFill="1" applyBorder="1" applyAlignment="1">
      <alignment horizontal="right" vertical="center" wrapText="1"/>
    </xf>
    <xf numFmtId="172" fontId="13" fillId="0" borderId="0" xfId="0" applyNumberFormat="1" applyFont="1"/>
    <xf numFmtId="4" fontId="16" fillId="29" borderId="0" xfId="0" applyNumberFormat="1" applyFont="1" applyFill="1" applyAlignment="1">
      <alignment horizontal="right" vertical="center" wrapText="1"/>
    </xf>
    <xf numFmtId="0" fontId="2" fillId="2" borderId="0" xfId="3" applyFont="1" applyFill="1" applyAlignment="1" applyProtection="1">
      <alignment vertical="center" wrapText="1"/>
      <protection locked="0"/>
    </xf>
    <xf numFmtId="0" fontId="2" fillId="2" borderId="5" xfId="3" applyFont="1" applyFill="1" applyBorder="1" applyAlignment="1" applyProtection="1">
      <alignment horizontal="left" vertical="center" wrapText="1"/>
      <protection locked="0"/>
    </xf>
    <xf numFmtId="0" fontId="13" fillId="2" borderId="5" xfId="3" applyFont="1" applyFill="1" applyBorder="1" applyAlignment="1">
      <alignment vertical="center" wrapText="1"/>
    </xf>
    <xf numFmtId="0" fontId="11" fillId="0" borderId="5" xfId="3" applyBorder="1" applyAlignment="1">
      <alignment vertical="center" wrapText="1"/>
    </xf>
    <xf numFmtId="10" fontId="2" fillId="2" borderId="17" xfId="3" applyNumberFormat="1" applyFont="1" applyFill="1" applyBorder="1" applyAlignment="1" applyProtection="1">
      <alignment horizontal="left" vertical="center" wrapText="1"/>
      <protection locked="0"/>
    </xf>
    <xf numFmtId="0" fontId="2" fillId="2" borderId="17" xfId="3" applyFont="1" applyFill="1" applyBorder="1" applyAlignment="1" applyProtection="1">
      <alignment horizontal="left" vertical="center" wrapText="1"/>
      <protection locked="0"/>
    </xf>
    <xf numFmtId="0" fontId="2" fillId="2" borderId="11" xfId="3" applyFont="1" applyFill="1" applyBorder="1" applyAlignment="1" applyProtection="1">
      <alignment horizontal="left" vertical="center" wrapText="1"/>
      <protection locked="0"/>
    </xf>
    <xf numFmtId="10" fontId="2" fillId="2" borderId="11" xfId="3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0" applyFont="1"/>
    <xf numFmtId="10" fontId="3" fillId="9" borderId="48" xfId="0" applyNumberFormat="1" applyFont="1" applyFill="1" applyBorder="1" applyAlignment="1">
      <alignment horizontal="right" vertical="center" indent="2"/>
    </xf>
    <xf numFmtId="0" fontId="13" fillId="0" borderId="23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left" vertical="center" wrapText="1"/>
    </xf>
    <xf numFmtId="4" fontId="13" fillId="0" borderId="23" xfId="0" applyNumberFormat="1" applyFont="1" applyBorder="1" applyAlignment="1">
      <alignment horizontal="right" vertical="center" wrapText="1"/>
    </xf>
    <xf numFmtId="0" fontId="16" fillId="2" borderId="23" xfId="0" applyFont="1" applyFill="1" applyBorder="1" applyAlignment="1">
      <alignment horizontal="center" vertical="center" wrapText="1"/>
    </xf>
    <xf numFmtId="0" fontId="16" fillId="2" borderId="23" xfId="0" applyFont="1" applyFill="1" applyBorder="1" applyAlignment="1">
      <alignment horizontal="left" vertical="center" wrapText="1"/>
    </xf>
    <xf numFmtId="4" fontId="16" fillId="2" borderId="23" xfId="0" applyNumberFormat="1" applyFont="1" applyFill="1" applyBorder="1" applyAlignment="1">
      <alignment horizontal="right" vertical="center" wrapText="1"/>
    </xf>
    <xf numFmtId="0" fontId="1" fillId="2" borderId="23" xfId="0" applyFont="1" applyFill="1" applyBorder="1" applyAlignment="1">
      <alignment horizontal="left" vertical="center" wrapText="1"/>
    </xf>
    <xf numFmtId="0" fontId="41" fillId="0" borderId="23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left" vertical="center" wrapText="1"/>
    </xf>
    <xf numFmtId="0" fontId="2" fillId="2" borderId="2" xfId="0" applyFont="1" applyFill="1" applyBorder="1" applyAlignment="1" applyProtection="1">
      <alignment horizontal="right" vertical="center" indent="1"/>
      <protection locked="0"/>
    </xf>
    <xf numFmtId="10" fontId="1" fillId="2" borderId="6" xfId="33" applyNumberFormat="1" applyFont="1" applyFill="1" applyBorder="1" applyAlignment="1" applyProtection="1">
      <alignment horizontal="left" vertical="center" indent="1"/>
      <protection locked="0"/>
    </xf>
    <xf numFmtId="0" fontId="2" fillId="2" borderId="5" xfId="0" applyFont="1" applyFill="1" applyBorder="1" applyAlignment="1" applyProtection="1">
      <alignment horizontal="right" vertical="center" indent="1"/>
      <protection locked="0"/>
    </xf>
    <xf numFmtId="10" fontId="1" fillId="2" borderId="8" xfId="33" applyNumberFormat="1" applyFont="1" applyFill="1" applyBorder="1" applyAlignment="1" applyProtection="1">
      <alignment horizontal="left" vertical="center" indent="1"/>
      <protection locked="0"/>
    </xf>
    <xf numFmtId="0" fontId="41" fillId="0" borderId="9" xfId="95" applyFont="1" applyBorder="1" applyAlignment="1">
      <alignment horizontal="left" vertical="center" wrapText="1"/>
    </xf>
    <xf numFmtId="0" fontId="11" fillId="0" borderId="23" xfId="3" applyBorder="1" applyAlignment="1">
      <alignment horizontal="center" vertical="center" wrapText="1"/>
    </xf>
    <xf numFmtId="0" fontId="11" fillId="0" borderId="9" xfId="95" applyFont="1" applyBorder="1" applyAlignment="1">
      <alignment horizontal="left" vertical="center" wrapText="1"/>
    </xf>
    <xf numFmtId="4" fontId="11" fillId="0" borderId="23" xfId="0" applyNumberFormat="1" applyFont="1" applyBorder="1" applyAlignment="1">
      <alignment horizontal="center" vertical="center"/>
    </xf>
    <xf numFmtId="0" fontId="11" fillId="0" borderId="49" xfId="95" applyFont="1" applyBorder="1" applyAlignment="1">
      <alignment horizontal="left" vertical="center" wrapText="1"/>
    </xf>
    <xf numFmtId="0" fontId="11" fillId="0" borderId="25" xfId="3" applyBorder="1" applyAlignment="1">
      <alignment horizontal="center" vertical="center" wrapText="1"/>
    </xf>
    <xf numFmtId="165" fontId="11" fillId="0" borderId="23" xfId="37" applyNumberFormat="1" applyFont="1" applyBorder="1" applyAlignment="1">
      <alignment horizontal="center" vertical="center" wrapText="1"/>
    </xf>
    <xf numFmtId="0" fontId="0" fillId="0" borderId="49" xfId="95" applyFont="1" applyBorder="1" applyAlignment="1">
      <alignment horizontal="left" vertical="center" wrapText="1"/>
    </xf>
    <xf numFmtId="0" fontId="41" fillId="0" borderId="22" xfId="95" applyFont="1" applyBorder="1" applyAlignment="1">
      <alignment horizontal="center" vertical="center"/>
    </xf>
    <xf numFmtId="0" fontId="41" fillId="0" borderId="51" xfId="95" applyFont="1" applyBorder="1" applyAlignment="1">
      <alignment horizontal="center" vertical="center"/>
    </xf>
    <xf numFmtId="0" fontId="11" fillId="0" borderId="60" xfId="95" applyFont="1" applyBorder="1" applyAlignment="1">
      <alignment horizontal="center" vertical="center"/>
    </xf>
    <xf numFmtId="0" fontId="11" fillId="0" borderId="9" xfId="95" applyFont="1" applyBorder="1" applyAlignment="1">
      <alignment horizontal="center" vertical="center"/>
    </xf>
    <xf numFmtId="49" fontId="11" fillId="0" borderId="9" xfId="26" applyNumberFormat="1" applyBorder="1" applyAlignment="1">
      <alignment horizontal="center" vertical="center" wrapText="1"/>
    </xf>
    <xf numFmtId="0" fontId="41" fillId="0" borderId="61" xfId="0" applyFont="1" applyBorder="1" applyAlignment="1">
      <alignment horizontal="center" vertical="center" wrapText="1"/>
    </xf>
    <xf numFmtId="0" fontId="1" fillId="2" borderId="0" xfId="14" applyFill="1" applyAlignment="1" applyProtection="1">
      <alignment vertical="center"/>
      <protection locked="0"/>
    </xf>
    <xf numFmtId="0" fontId="1" fillId="2" borderId="0" xfId="14" applyFill="1" applyAlignment="1" applyProtection="1">
      <alignment vertical="center" wrapText="1"/>
      <protection locked="0"/>
    </xf>
    <xf numFmtId="43" fontId="1" fillId="2" borderId="0" xfId="36" applyFont="1" applyFill="1" applyBorder="1" applyAlignment="1" applyProtection="1">
      <alignment vertical="center"/>
      <protection locked="0"/>
    </xf>
    <xf numFmtId="0" fontId="1" fillId="2" borderId="0" xfId="14" applyFill="1" applyAlignment="1" applyProtection="1">
      <alignment horizontal="center" vertical="center"/>
      <protection locked="0"/>
    </xf>
    <xf numFmtId="43" fontId="2" fillId="2" borderId="2" xfId="36" applyFont="1" applyFill="1" applyBorder="1" applyAlignment="1" applyProtection="1">
      <alignment horizontal="left" vertical="center"/>
      <protection locked="0"/>
    </xf>
    <xf numFmtId="0" fontId="2" fillId="2" borderId="2" xfId="0" applyFont="1" applyFill="1" applyBorder="1" applyAlignment="1" applyProtection="1">
      <alignment horizontal="left" vertical="center" wrapText="1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43" fontId="2" fillId="2" borderId="0" xfId="36" applyFont="1" applyFill="1" applyBorder="1" applyAlignment="1" applyProtection="1">
      <alignment horizontal="left" vertical="center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43" fontId="2" fillId="2" borderId="5" xfId="36" applyFont="1" applyFill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horizontal="left" vertical="center" wrapText="1"/>
      <protection locked="0"/>
    </xf>
    <xf numFmtId="0" fontId="2" fillId="2" borderId="8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vertical="center" wrapText="1"/>
      <protection locked="0"/>
    </xf>
    <xf numFmtId="0" fontId="2" fillId="3" borderId="62" xfId="14" applyFont="1" applyFill="1" applyBorder="1" applyAlignment="1" applyProtection="1">
      <alignment horizontal="center" vertical="center"/>
      <protection locked="0"/>
    </xf>
    <xf numFmtId="0" fontId="2" fillId="3" borderId="63" xfId="14" applyFont="1" applyFill="1" applyBorder="1" applyAlignment="1" applyProtection="1">
      <alignment vertical="center" wrapText="1"/>
      <protection locked="0"/>
    </xf>
    <xf numFmtId="0" fontId="2" fillId="3" borderId="63" xfId="14" applyFont="1" applyFill="1" applyBorder="1" applyAlignment="1" applyProtection="1">
      <alignment horizontal="center" vertical="center"/>
      <protection locked="0"/>
    </xf>
    <xf numFmtId="43" fontId="2" fillId="3" borderId="63" xfId="36" applyFont="1" applyFill="1" applyBorder="1" applyAlignment="1" applyProtection="1">
      <alignment horizontal="center" vertical="center"/>
      <protection locked="0"/>
    </xf>
    <xf numFmtId="0" fontId="2" fillId="3" borderId="63" xfId="14" applyFont="1" applyFill="1" applyBorder="1" applyAlignment="1" applyProtection="1">
      <alignment horizontal="center" vertical="center" wrapText="1"/>
      <protection locked="0"/>
    </xf>
    <xf numFmtId="0" fontId="2" fillId="3" borderId="64" xfId="14" applyFont="1" applyFill="1" applyBorder="1" applyAlignment="1" applyProtection="1">
      <alignment horizontal="center" vertical="center"/>
      <protection locked="0"/>
    </xf>
    <xf numFmtId="0" fontId="2" fillId="5" borderId="65" xfId="14" applyFont="1" applyFill="1" applyBorder="1" applyAlignment="1" applyProtection="1">
      <alignment horizontal="center" vertical="center"/>
      <protection locked="0"/>
    </xf>
    <xf numFmtId="49" fontId="2" fillId="5" borderId="9" xfId="14" applyNumberFormat="1" applyFont="1" applyFill="1" applyBorder="1" applyAlignment="1" applyProtection="1">
      <alignment vertical="center" wrapText="1"/>
      <protection locked="0"/>
    </xf>
    <xf numFmtId="49" fontId="2" fillId="5" borderId="9" xfId="14" applyNumberFormat="1" applyFont="1" applyFill="1" applyBorder="1" applyAlignment="1" applyProtection="1">
      <alignment vertical="center"/>
      <protection locked="0"/>
    </xf>
    <xf numFmtId="43" fontId="2" fillId="5" borderId="9" xfId="36" applyFont="1" applyFill="1" applyBorder="1" applyAlignment="1" applyProtection="1">
      <alignment vertical="center"/>
      <protection locked="0"/>
    </xf>
    <xf numFmtId="0" fontId="11" fillId="5" borderId="66" xfId="38" applyNumberFormat="1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0" fontId="2" fillId="0" borderId="10" xfId="14" applyFont="1" applyBorder="1" applyAlignment="1" applyProtection="1">
      <alignment horizontal="center" vertical="center"/>
      <protection locked="0"/>
    </xf>
    <xf numFmtId="43" fontId="2" fillId="0" borderId="10" xfId="36" applyFont="1" applyFill="1" applyBorder="1" applyAlignment="1" applyProtection="1">
      <alignment horizontal="center" vertical="center"/>
      <protection locked="0"/>
    </xf>
    <xf numFmtId="0" fontId="2" fillId="0" borderId="10" xfId="14" applyFont="1" applyBorder="1" applyAlignment="1" applyProtection="1">
      <alignment horizontal="center" vertical="center" wrapText="1"/>
      <protection locked="0"/>
    </xf>
    <xf numFmtId="0" fontId="2" fillId="0" borderId="67" xfId="14" applyFont="1" applyBorder="1" applyAlignment="1" applyProtection="1">
      <alignment horizontal="center" vertical="center"/>
      <protection locked="0"/>
    </xf>
    <xf numFmtId="0" fontId="0" fillId="0" borderId="71" xfId="0" applyBorder="1"/>
    <xf numFmtId="0" fontId="0" fillId="0" borderId="70" xfId="0" applyBorder="1"/>
    <xf numFmtId="0" fontId="0" fillId="0" borderId="23" xfId="0" applyBorder="1"/>
    <xf numFmtId="0" fontId="0" fillId="0" borderId="72" xfId="0" applyBorder="1"/>
    <xf numFmtId="0" fontId="1" fillId="0" borderId="10" xfId="14" applyBorder="1" applyAlignment="1" applyProtection="1">
      <alignment horizontal="center" vertical="center" wrapText="1"/>
      <protection locked="0"/>
    </xf>
    <xf numFmtId="4" fontId="16" fillId="0" borderId="71" xfId="0" applyNumberFormat="1" applyFont="1" applyBorder="1" applyAlignment="1">
      <alignment horizontal="right" vertical="center" wrapText="1"/>
    </xf>
    <xf numFmtId="4" fontId="2" fillId="0" borderId="67" xfId="14" applyNumberFormat="1" applyFont="1" applyBorder="1" applyAlignment="1" applyProtection="1">
      <alignment horizontal="center" vertical="center"/>
      <protection locked="0"/>
    </xf>
    <xf numFmtId="4" fontId="2" fillId="0" borderId="73" xfId="14" applyNumberFormat="1" applyFont="1" applyBorder="1" applyAlignment="1" applyProtection="1">
      <alignment horizontal="center" vertical="center"/>
      <protection locked="0"/>
    </xf>
    <xf numFmtId="0" fontId="0" fillId="0" borderId="23" xfId="0" applyBorder="1" applyAlignment="1">
      <alignment horizontal="right" vertical="center"/>
    </xf>
    <xf numFmtId="0" fontId="0" fillId="0" borderId="71" xfId="0" applyBorder="1" applyAlignment="1">
      <alignment horizontal="right" vertical="center"/>
    </xf>
    <xf numFmtId="4" fontId="1" fillId="0" borderId="73" xfId="14" applyNumberFormat="1" applyBorder="1" applyAlignment="1" applyProtection="1">
      <alignment horizontal="center" vertical="center"/>
      <protection locked="0"/>
    </xf>
    <xf numFmtId="0" fontId="2" fillId="0" borderId="23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left" vertical="center" wrapText="1"/>
    </xf>
    <xf numFmtId="0" fontId="2" fillId="0" borderId="69" xfId="0" applyFont="1" applyBorder="1" applyAlignment="1">
      <alignment horizontal="left" vertical="center" wrapText="1"/>
    </xf>
    <xf numFmtId="0" fontId="1" fillId="0" borderId="10" xfId="14" applyBorder="1" applyAlignment="1" applyProtection="1">
      <alignment horizontal="center" vertical="center"/>
      <protection locked="0"/>
    </xf>
    <xf numFmtId="0" fontId="2" fillId="2" borderId="2" xfId="3" applyFont="1" applyFill="1" applyBorder="1" applyAlignment="1" applyProtection="1">
      <alignment vertical="center" wrapText="1"/>
      <protection locked="0"/>
    </xf>
    <xf numFmtId="0" fontId="2" fillId="2" borderId="6" xfId="3" applyFont="1" applyFill="1" applyBorder="1" applyAlignment="1" applyProtection="1">
      <alignment vertical="center" wrapText="1"/>
      <protection locked="0"/>
    </xf>
    <xf numFmtId="0" fontId="2" fillId="2" borderId="5" xfId="3" applyFont="1" applyFill="1" applyBorder="1" applyAlignment="1" applyProtection="1">
      <alignment vertical="center" wrapText="1"/>
      <protection locked="0"/>
    </xf>
    <xf numFmtId="0" fontId="2" fillId="2" borderId="8" xfId="3" applyFont="1" applyFill="1" applyBorder="1" applyAlignment="1" applyProtection="1">
      <alignment vertical="center" wrapText="1"/>
      <protection locked="0"/>
    </xf>
    <xf numFmtId="0" fontId="13" fillId="2" borderId="23" xfId="0" applyFont="1" applyFill="1" applyBorder="1" applyAlignment="1">
      <alignment horizontal="center" vertical="center" wrapText="1"/>
    </xf>
    <xf numFmtId="0" fontId="15" fillId="3" borderId="23" xfId="0" applyFont="1" applyFill="1" applyBorder="1" applyAlignment="1" applyProtection="1">
      <alignment vertical="center" wrapText="1"/>
      <protection locked="0"/>
    </xf>
    <xf numFmtId="0" fontId="43" fillId="0" borderId="23" xfId="3" applyFont="1" applyBorder="1" applyAlignment="1">
      <alignment horizontal="center" vertical="top" wrapText="1"/>
    </xf>
    <xf numFmtId="44" fontId="11" fillId="0" borderId="23" xfId="3" applyNumberFormat="1" applyBorder="1" applyAlignment="1">
      <alignment horizontal="right" vertical="top" wrapText="1"/>
    </xf>
    <xf numFmtId="10" fontId="1" fillId="2" borderId="11" xfId="33" applyNumberFormat="1" applyFont="1" applyFill="1" applyBorder="1" applyAlignment="1" applyProtection="1">
      <alignment vertical="center"/>
      <protection locked="0"/>
    </xf>
    <xf numFmtId="0" fontId="44" fillId="0" borderId="0" xfId="0" applyFont="1"/>
    <xf numFmtId="0" fontId="45" fillId="0" borderId="0" xfId="0" applyFont="1"/>
    <xf numFmtId="0" fontId="46" fillId="0" borderId="0" xfId="3" applyFont="1" applyAlignment="1">
      <alignment vertical="center" wrapText="1"/>
    </xf>
    <xf numFmtId="0" fontId="1" fillId="32" borderId="0" xfId="5" applyFill="1" applyAlignment="1" applyProtection="1">
      <alignment vertical="center"/>
      <protection locked="0"/>
    </xf>
    <xf numFmtId="0" fontId="2" fillId="32" borderId="0" xfId="5" applyFont="1" applyFill="1" applyAlignment="1" applyProtection="1">
      <alignment vertical="center"/>
      <protection locked="0"/>
    </xf>
    <xf numFmtId="0" fontId="45" fillId="0" borderId="56" xfId="3" applyFont="1" applyBorder="1" applyAlignment="1">
      <alignment vertical="center" wrapText="1"/>
    </xf>
    <xf numFmtId="0" fontId="47" fillId="0" borderId="0" xfId="128" applyFont="1" applyFill="1" applyBorder="1" applyAlignment="1">
      <alignment vertical="center" wrapText="1"/>
    </xf>
    <xf numFmtId="0" fontId="44" fillId="0" borderId="62" xfId="3" applyFont="1" applyBorder="1" applyAlignment="1">
      <alignment vertical="center" wrapText="1"/>
    </xf>
    <xf numFmtId="0" fontId="44" fillId="0" borderId="63" xfId="3" applyFont="1" applyBorder="1" applyAlignment="1">
      <alignment vertical="center" wrapText="1"/>
    </xf>
    <xf numFmtId="0" fontId="46" fillId="0" borderId="63" xfId="3" applyFont="1" applyBorder="1" applyAlignment="1">
      <alignment vertical="center" wrapText="1"/>
    </xf>
    <xf numFmtId="44" fontId="46" fillId="0" borderId="64" xfId="3" applyNumberFormat="1" applyFont="1" applyBorder="1" applyAlignment="1">
      <alignment vertical="center" wrapText="1"/>
    </xf>
    <xf numFmtId="44" fontId="46" fillId="0" borderId="47" xfId="3" applyNumberFormat="1" applyFont="1" applyBorder="1" applyAlignment="1">
      <alignment vertical="center" wrapText="1"/>
    </xf>
    <xf numFmtId="0" fontId="44" fillId="0" borderId="47" xfId="3" applyFont="1" applyBorder="1" applyAlignment="1">
      <alignment vertical="center" wrapText="1"/>
    </xf>
    <xf numFmtId="0" fontId="44" fillId="0" borderId="75" xfId="3" applyFont="1" applyBorder="1" applyAlignment="1">
      <alignment vertical="center" wrapText="1"/>
    </xf>
    <xf numFmtId="44" fontId="46" fillId="0" borderId="9" xfId="3" applyNumberFormat="1" applyFont="1" applyBorder="1" applyAlignment="1">
      <alignment vertical="center" wrapText="1"/>
    </xf>
    <xf numFmtId="0" fontId="44" fillId="0" borderId="9" xfId="3" applyFont="1" applyBorder="1" applyAlignment="1">
      <alignment vertical="center" wrapText="1"/>
    </xf>
    <xf numFmtId="0" fontId="44" fillId="0" borderId="66" xfId="3" applyFont="1" applyBorder="1" applyAlignment="1">
      <alignment vertical="center" wrapText="1"/>
    </xf>
    <xf numFmtId="44" fontId="46" fillId="0" borderId="57" xfId="3" applyNumberFormat="1" applyFont="1" applyBorder="1" applyAlignment="1">
      <alignment vertical="center" wrapText="1"/>
    </xf>
    <xf numFmtId="0" fontId="44" fillId="0" borderId="57" xfId="3" applyFont="1" applyBorder="1" applyAlignment="1">
      <alignment vertical="center" wrapText="1"/>
    </xf>
    <xf numFmtId="0" fontId="44" fillId="0" borderId="77" xfId="3" applyFont="1" applyBorder="1" applyAlignment="1">
      <alignment vertical="center" wrapText="1"/>
    </xf>
    <xf numFmtId="44" fontId="11" fillId="0" borderId="47" xfId="3" applyNumberFormat="1" applyBorder="1" applyAlignment="1">
      <alignment vertical="center" wrapText="1"/>
    </xf>
    <xf numFmtId="0" fontId="0" fillId="0" borderId="47" xfId="3" applyFont="1" applyBorder="1" applyAlignment="1">
      <alignment vertical="center" wrapText="1"/>
    </xf>
    <xf numFmtId="0" fontId="0" fillId="0" borderId="75" xfId="3" applyFont="1" applyBorder="1" applyAlignment="1">
      <alignment vertical="center" wrapText="1"/>
    </xf>
    <xf numFmtId="44" fontId="11" fillId="0" borderId="9" xfId="3" applyNumberFormat="1" applyBorder="1" applyAlignment="1">
      <alignment vertical="center" wrapText="1"/>
    </xf>
    <xf numFmtId="0" fontId="0" fillId="0" borderId="9" xfId="3" applyFont="1" applyBorder="1" applyAlignment="1">
      <alignment vertical="center" wrapText="1"/>
    </xf>
    <xf numFmtId="44" fontId="11" fillId="0" borderId="57" xfId="3" applyNumberFormat="1" applyBorder="1" applyAlignment="1">
      <alignment vertical="center" wrapText="1"/>
    </xf>
    <xf numFmtId="0" fontId="0" fillId="0" borderId="57" xfId="3" applyFont="1" applyBorder="1" applyAlignment="1">
      <alignment vertical="center" wrapText="1"/>
    </xf>
    <xf numFmtId="0" fontId="0" fillId="0" borderId="23" xfId="3" applyFont="1" applyBorder="1" applyAlignment="1">
      <alignment horizontal="right" vertical="top" wrapText="1"/>
    </xf>
    <xf numFmtId="0" fontId="2" fillId="5" borderId="9" xfId="14" applyFont="1" applyFill="1" applyBorder="1" applyAlignment="1" applyProtection="1">
      <alignment vertical="center" wrapText="1"/>
      <protection locked="0"/>
    </xf>
    <xf numFmtId="0" fontId="2" fillId="5" borderId="9" xfId="14" applyFont="1" applyFill="1" applyBorder="1" applyAlignment="1" applyProtection="1">
      <alignment vertical="center"/>
      <protection locked="0"/>
    </xf>
    <xf numFmtId="49" fontId="7" fillId="31" borderId="50" xfId="0" applyNumberFormat="1" applyFont="1" applyFill="1" applyBorder="1" applyAlignment="1">
      <alignment horizontal="center" vertical="center" wrapText="1"/>
    </xf>
    <xf numFmtId="173" fontId="13" fillId="0" borderId="0" xfId="0" applyNumberFormat="1" applyFont="1"/>
    <xf numFmtId="0" fontId="50" fillId="0" borderId="0" xfId="0" applyFont="1"/>
    <xf numFmtId="0" fontId="51" fillId="33" borderId="9" xfId="26" applyFont="1" applyFill="1" applyBorder="1" applyAlignment="1">
      <alignment horizontal="center" vertical="center" wrapText="1"/>
    </xf>
    <xf numFmtId="0" fontId="52" fillId="0" borderId="9" xfId="26" applyFont="1" applyBorder="1" applyAlignment="1">
      <alignment horizontal="center" vertical="center" wrapText="1"/>
    </xf>
    <xf numFmtId="4" fontId="52" fillId="0" borderId="9" xfId="95" applyNumberFormat="1" applyFont="1" applyBorder="1" applyAlignment="1">
      <alignment horizontal="left" vertical="center" wrapText="1"/>
    </xf>
    <xf numFmtId="4" fontId="52" fillId="0" borderId="9" xfId="95" applyNumberFormat="1" applyFont="1" applyBorder="1" applyAlignment="1">
      <alignment horizontal="center" vertical="center" wrapText="1"/>
    </xf>
    <xf numFmtId="0" fontId="41" fillId="0" borderId="9" xfId="0" applyFont="1" applyBorder="1" applyAlignment="1">
      <alignment horizontal="center" vertical="center" wrapText="1"/>
    </xf>
    <xf numFmtId="0" fontId="42" fillId="0" borderId="9" xfId="128" applyFill="1" applyBorder="1" applyAlignment="1">
      <alignment horizontal="center" vertical="center" wrapText="1"/>
    </xf>
    <xf numFmtId="44" fontId="41" fillId="0" borderId="9" xfId="129" applyFont="1" applyFill="1" applyBorder="1" applyAlignment="1">
      <alignment horizontal="center" vertical="center" wrapText="1"/>
    </xf>
    <xf numFmtId="17" fontId="41" fillId="0" borderId="9" xfId="0" applyNumberFormat="1" applyFont="1" applyBorder="1" applyAlignment="1">
      <alignment horizontal="center" vertical="center" wrapText="1"/>
    </xf>
    <xf numFmtId="0" fontId="42" fillId="0" borderId="0" xfId="128"/>
    <xf numFmtId="0" fontId="50" fillId="0" borderId="0" xfId="0" applyFont="1" applyAlignment="1">
      <alignment wrapText="1"/>
    </xf>
    <xf numFmtId="0" fontId="0" fillId="0" borderId="77" xfId="3" applyFont="1" applyBorder="1" applyAlignment="1">
      <alignment vertical="center" wrapText="1"/>
    </xf>
    <xf numFmtId="0" fontId="0" fillId="0" borderId="66" xfId="3" applyFont="1" applyBorder="1" applyAlignment="1">
      <alignment vertical="center" wrapText="1"/>
    </xf>
    <xf numFmtId="0" fontId="2" fillId="9" borderId="32" xfId="0" applyFont="1" applyFill="1" applyBorder="1" applyAlignment="1">
      <alignment horizontal="left" vertical="center" wrapText="1"/>
    </xf>
    <xf numFmtId="0" fontId="14" fillId="9" borderId="25" xfId="0" applyFont="1" applyFill="1" applyBorder="1" applyAlignment="1">
      <alignment horizontal="left" vertical="center" wrapText="1"/>
    </xf>
    <xf numFmtId="0" fontId="19" fillId="3" borderId="32" xfId="0" applyFont="1" applyFill="1" applyBorder="1" applyAlignment="1">
      <alignment horizontal="left" vertical="center" wrapText="1"/>
    </xf>
    <xf numFmtId="0" fontId="19" fillId="3" borderId="25" xfId="0" applyFont="1" applyFill="1" applyBorder="1" applyAlignment="1">
      <alignment horizontal="left" vertical="center" wrapText="1"/>
    </xf>
    <xf numFmtId="0" fontId="2" fillId="3" borderId="32" xfId="0" applyFont="1" applyFill="1" applyBorder="1" applyAlignment="1">
      <alignment horizontal="left" vertical="center" wrapText="1"/>
    </xf>
    <xf numFmtId="0" fontId="2" fillId="3" borderId="25" xfId="0" applyFont="1" applyFill="1" applyBorder="1" applyAlignment="1">
      <alignment horizontal="left" vertical="center" wrapText="1"/>
    </xf>
    <xf numFmtId="0" fontId="14" fillId="3" borderId="25" xfId="0" applyFont="1" applyFill="1" applyBorder="1" applyAlignment="1">
      <alignment horizontal="left" vertical="center" wrapText="1"/>
    </xf>
    <xf numFmtId="4" fontId="3" fillId="27" borderId="9" xfId="23" applyNumberFormat="1" applyFont="1" applyFill="1" applyBorder="1" applyAlignment="1" applyProtection="1">
      <alignment horizontal="center" vertical="center" wrapText="1"/>
      <protection locked="0"/>
    </xf>
    <xf numFmtId="0" fontId="2" fillId="9" borderId="25" xfId="0" applyFont="1" applyFill="1" applyBorder="1" applyAlignment="1">
      <alignment horizontal="left" vertical="center" wrapText="1"/>
    </xf>
    <xf numFmtId="0" fontId="14" fillId="9" borderId="26" xfId="0" applyFont="1" applyFill="1" applyBorder="1" applyAlignment="1">
      <alignment horizontal="left" vertical="center" wrapText="1"/>
    </xf>
    <xf numFmtId="0" fontId="19" fillId="3" borderId="31" xfId="0" applyFont="1" applyFill="1" applyBorder="1" applyAlignment="1">
      <alignment horizontal="left" vertical="center" wrapText="1"/>
    </xf>
    <xf numFmtId="0" fontId="19" fillId="3" borderId="55" xfId="0" applyFont="1" applyFill="1" applyBorder="1" applyAlignment="1">
      <alignment horizontal="left" vertical="center" wrapText="1"/>
    </xf>
    <xf numFmtId="0" fontId="2" fillId="2" borderId="1" xfId="5" applyFont="1" applyFill="1" applyBorder="1" applyAlignment="1" applyProtection="1">
      <alignment horizontal="center" vertical="center" wrapText="1"/>
      <protection locked="0"/>
    </xf>
    <xf numFmtId="0" fontId="2" fillId="2" borderId="2" xfId="5" applyFont="1" applyFill="1" applyBorder="1" applyAlignment="1" applyProtection="1">
      <alignment horizontal="center" vertical="center"/>
      <protection locked="0"/>
    </xf>
    <xf numFmtId="0" fontId="2" fillId="2" borderId="6" xfId="5" applyFont="1" applyFill="1" applyBorder="1" applyAlignment="1" applyProtection="1">
      <alignment horizontal="center" vertical="center"/>
      <protection locked="0"/>
    </xf>
    <xf numFmtId="0" fontId="2" fillId="2" borderId="3" xfId="5" applyFont="1" applyFill="1" applyBorder="1" applyAlignment="1" applyProtection="1">
      <alignment horizontal="center" vertical="center"/>
      <protection locked="0"/>
    </xf>
    <xf numFmtId="0" fontId="2" fillId="2" borderId="0" xfId="5" applyFont="1" applyFill="1" applyAlignment="1" applyProtection="1">
      <alignment horizontal="center" vertical="center"/>
      <protection locked="0"/>
    </xf>
    <xf numFmtId="0" fontId="2" fillId="2" borderId="7" xfId="5" applyFont="1" applyFill="1" applyBorder="1" applyAlignment="1" applyProtection="1">
      <alignment horizontal="center" vertical="center"/>
      <protection locked="0"/>
    </xf>
    <xf numFmtId="0" fontId="2" fillId="2" borderId="4" xfId="5" applyFont="1" applyFill="1" applyBorder="1" applyAlignment="1" applyProtection="1">
      <alignment horizontal="center" vertical="center"/>
      <protection locked="0"/>
    </xf>
    <xf numFmtId="0" fontId="2" fillId="2" borderId="5" xfId="5" applyFont="1" applyFill="1" applyBorder="1" applyAlignment="1" applyProtection="1">
      <alignment horizontal="center" vertical="center"/>
      <protection locked="0"/>
    </xf>
    <xf numFmtId="0" fontId="2" fillId="2" borderId="8" xfId="5" applyFont="1" applyFill="1" applyBorder="1" applyAlignment="1" applyProtection="1">
      <alignment horizontal="center" vertical="center"/>
      <protection locked="0"/>
    </xf>
    <xf numFmtId="0" fontId="2" fillId="5" borderId="11" xfId="0" applyFont="1" applyFill="1" applyBorder="1" applyAlignment="1" applyProtection="1">
      <alignment horizontal="center" vertical="center"/>
      <protection locked="0"/>
    </xf>
    <xf numFmtId="0" fontId="2" fillId="5" borderId="12" xfId="0" applyFont="1" applyFill="1" applyBorder="1" applyAlignment="1" applyProtection="1">
      <alignment horizontal="center" vertical="center"/>
      <protection locked="0"/>
    </xf>
    <xf numFmtId="0" fontId="2" fillId="5" borderId="17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7" xfId="0" applyFont="1" applyFill="1" applyBorder="1" applyAlignment="1" applyProtection="1">
      <alignment horizontal="left" vertical="center" wrapText="1"/>
      <protection locked="0"/>
    </xf>
    <xf numFmtId="0" fontId="2" fillId="2" borderId="2" xfId="5" applyFont="1" applyFill="1" applyBorder="1" applyAlignment="1" applyProtection="1">
      <alignment horizontal="center" vertical="center" wrapText="1"/>
      <protection locked="0"/>
    </xf>
    <xf numFmtId="0" fontId="2" fillId="2" borderId="6" xfId="5" applyFont="1" applyFill="1" applyBorder="1" applyAlignment="1" applyProtection="1">
      <alignment horizontal="center" vertical="center" wrapText="1"/>
      <protection locked="0"/>
    </xf>
    <xf numFmtId="0" fontId="2" fillId="2" borderId="3" xfId="5" applyFont="1" applyFill="1" applyBorder="1" applyAlignment="1" applyProtection="1">
      <alignment horizontal="center" vertical="center" wrapText="1"/>
      <protection locked="0"/>
    </xf>
    <xf numFmtId="0" fontId="2" fillId="2" borderId="0" xfId="5" applyFont="1" applyFill="1" applyAlignment="1" applyProtection="1">
      <alignment horizontal="center" vertical="center" wrapText="1"/>
      <protection locked="0"/>
    </xf>
    <xf numFmtId="0" fontId="2" fillId="2" borderId="7" xfId="5" applyFont="1" applyFill="1" applyBorder="1" applyAlignment="1" applyProtection="1">
      <alignment horizontal="center" vertical="center" wrapText="1"/>
      <protection locked="0"/>
    </xf>
    <xf numFmtId="0" fontId="2" fillId="2" borderId="4" xfId="5" applyFont="1" applyFill="1" applyBorder="1" applyAlignment="1" applyProtection="1">
      <alignment horizontal="center" vertical="center" wrapText="1"/>
      <protection locked="0"/>
    </xf>
    <xf numFmtId="0" fontId="2" fillId="2" borderId="5" xfId="5" applyFont="1" applyFill="1" applyBorder="1" applyAlignment="1" applyProtection="1">
      <alignment horizontal="center" vertical="center" wrapText="1"/>
      <protection locked="0"/>
    </xf>
    <xf numFmtId="0" fontId="2" fillId="2" borderId="8" xfId="5" applyFont="1" applyFill="1" applyBorder="1" applyAlignment="1" applyProtection="1">
      <alignment horizontal="center" vertical="center" wrapText="1"/>
      <protection locked="0"/>
    </xf>
    <xf numFmtId="0" fontId="3" fillId="3" borderId="11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3" fillId="3" borderId="17" xfId="0" applyFont="1" applyFill="1" applyBorder="1" applyAlignment="1" applyProtection="1">
      <alignment horizontal="center" vertical="center"/>
      <protection locked="0"/>
    </xf>
    <xf numFmtId="0" fontId="2" fillId="0" borderId="23" xfId="0" applyFont="1" applyBorder="1" applyAlignment="1">
      <alignment horizontal="center" vertical="center" wrapText="1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16" fillId="0" borderId="23" xfId="0" applyFont="1" applyBorder="1" applyAlignment="1">
      <alignment horizontal="left" vertical="center" wrapText="1"/>
    </xf>
    <xf numFmtId="0" fontId="16" fillId="0" borderId="23" xfId="0" applyFont="1" applyBorder="1" applyAlignment="1" applyProtection="1">
      <alignment horizontal="left" vertical="center" wrapText="1"/>
      <protection locked="0"/>
    </xf>
    <xf numFmtId="166" fontId="16" fillId="0" borderId="24" xfId="0" applyNumberFormat="1" applyFont="1" applyBorder="1" applyAlignment="1">
      <alignment vertical="center" wrapText="1"/>
    </xf>
    <xf numFmtId="166" fontId="16" fillId="0" borderId="33" xfId="0" applyNumberFormat="1" applyFont="1" applyBorder="1" applyAlignment="1">
      <alignment vertical="center" wrapText="1"/>
    </xf>
    <xf numFmtId="4" fontId="16" fillId="0" borderId="23" xfId="0" applyNumberFormat="1" applyFont="1" applyBorder="1" applyAlignment="1">
      <alignment horizontal="left" vertical="center" wrapText="1"/>
    </xf>
    <xf numFmtId="4" fontId="14" fillId="7" borderId="24" xfId="0" applyNumberFormat="1" applyFont="1" applyFill="1" applyBorder="1" applyAlignment="1">
      <alignment horizontal="center" vertical="center" wrapText="1"/>
    </xf>
    <xf numFmtId="4" fontId="14" fillId="7" borderId="33" xfId="0" applyNumberFormat="1" applyFont="1" applyFill="1" applyBorder="1" applyAlignment="1">
      <alignment horizontal="center" vertical="center" wrapText="1"/>
    </xf>
    <xf numFmtId="4" fontId="14" fillId="7" borderId="25" xfId="0" applyNumberFormat="1" applyFont="1" applyFill="1" applyBorder="1" applyAlignment="1">
      <alignment horizontal="center" vertical="center" wrapText="1"/>
    </xf>
    <xf numFmtId="0" fontId="14" fillId="7" borderId="25" xfId="0" applyFont="1" applyFill="1" applyBorder="1" applyAlignment="1" applyProtection="1">
      <alignment horizontal="center" vertical="center" wrapText="1"/>
      <protection locked="0"/>
    </xf>
    <xf numFmtId="166" fontId="14" fillId="7" borderId="25" xfId="0" applyNumberFormat="1" applyFont="1" applyFill="1" applyBorder="1" applyAlignment="1">
      <alignment vertical="center" wrapText="1"/>
    </xf>
    <xf numFmtId="166" fontId="14" fillId="7" borderId="25" xfId="0" applyNumberFormat="1" applyFont="1" applyFill="1" applyBorder="1" applyAlignment="1" applyProtection="1">
      <alignment vertical="center" wrapText="1"/>
      <protection locked="0"/>
    </xf>
    <xf numFmtId="0" fontId="2" fillId="3" borderId="11" xfId="0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Alignment="1" applyProtection="1">
      <alignment horizontal="center" vertical="center"/>
      <protection locked="0"/>
    </xf>
    <xf numFmtId="0" fontId="2" fillId="3" borderId="17" xfId="0" applyFont="1" applyFill="1" applyBorder="1" applyAlignment="1" applyProtection="1">
      <alignment horizontal="center" vertical="center"/>
      <protection locked="0"/>
    </xf>
    <xf numFmtId="0" fontId="4" fillId="2" borderId="0" xfId="24" applyFont="1" applyFill="1" applyAlignment="1" applyProtection="1">
      <alignment horizontal="left" vertical="center"/>
      <protection locked="0"/>
    </xf>
    <xf numFmtId="0" fontId="3" fillId="3" borderId="11" xfId="24" applyFont="1" applyFill="1" applyBorder="1" applyAlignment="1" applyProtection="1">
      <alignment horizontal="center" vertical="center"/>
      <protection locked="0"/>
    </xf>
    <xf numFmtId="0" fontId="3" fillId="3" borderId="12" xfId="24" applyFont="1" applyFill="1" applyBorder="1" applyAlignment="1" applyProtection="1">
      <alignment horizontal="center" vertical="center"/>
      <protection locked="0"/>
    </xf>
    <xf numFmtId="0" fontId="3" fillId="3" borderId="17" xfId="24" applyFont="1" applyFill="1" applyBorder="1" applyAlignment="1" applyProtection="1">
      <alignment horizontal="center" vertical="center"/>
      <protection locked="0"/>
    </xf>
    <xf numFmtId="0" fontId="11" fillId="0" borderId="32" xfId="3" applyBorder="1" applyAlignment="1">
      <alignment wrapText="1"/>
    </xf>
    <xf numFmtId="0" fontId="11" fillId="0" borderId="26" xfId="3" applyBorder="1" applyAlignment="1">
      <alignment wrapText="1"/>
    </xf>
    <xf numFmtId="0" fontId="11" fillId="0" borderId="25" xfId="3" applyBorder="1" applyAlignment="1">
      <alignment wrapText="1"/>
    </xf>
    <xf numFmtId="10" fontId="11" fillId="0" borderId="24" xfId="35" applyNumberFormat="1" applyFont="1" applyBorder="1" applyAlignment="1">
      <alignment horizontal="right" vertical="top" wrapText="1"/>
    </xf>
    <xf numFmtId="10" fontId="11" fillId="0" borderId="33" xfId="35" applyNumberFormat="1" applyFont="1" applyBorder="1" applyAlignment="1">
      <alignment horizontal="right" vertical="top" wrapText="1"/>
    </xf>
    <xf numFmtId="0" fontId="12" fillId="0" borderId="32" xfId="3" applyFont="1" applyBorder="1" applyAlignment="1">
      <alignment wrapText="1"/>
    </xf>
    <xf numFmtId="0" fontId="12" fillId="0" borderId="26" xfId="3" applyFont="1" applyBorder="1" applyAlignment="1">
      <alignment wrapText="1"/>
    </xf>
    <xf numFmtId="0" fontId="12" fillId="0" borderId="25" xfId="3" applyFont="1" applyBorder="1" applyAlignment="1">
      <alignment wrapText="1"/>
    </xf>
    <xf numFmtId="0" fontId="12" fillId="8" borderId="32" xfId="3" applyFont="1" applyFill="1" applyBorder="1" applyAlignment="1">
      <alignment wrapText="1"/>
    </xf>
    <xf numFmtId="0" fontId="12" fillId="8" borderId="26" xfId="3" applyFont="1" applyFill="1" applyBorder="1" applyAlignment="1">
      <alignment wrapText="1"/>
    </xf>
    <xf numFmtId="0" fontId="12" fillId="8" borderId="25" xfId="3" applyFont="1" applyFill="1" applyBorder="1" applyAlignment="1">
      <alignment wrapText="1"/>
    </xf>
    <xf numFmtId="10" fontId="11" fillId="0" borderId="34" xfId="35" applyNumberFormat="1" applyFont="1" applyBorder="1" applyAlignment="1">
      <alignment horizontal="right" vertical="top" wrapText="1"/>
    </xf>
    <xf numFmtId="0" fontId="11" fillId="0" borderId="35" xfId="3" applyBorder="1" applyAlignment="1">
      <alignment wrapText="1"/>
    </xf>
    <xf numFmtId="0" fontId="12" fillId="0" borderId="32" xfId="3" applyFont="1" applyBorder="1" applyAlignment="1">
      <alignment horizontal="right" wrapText="1"/>
    </xf>
    <xf numFmtId="0" fontId="12" fillId="0" borderId="26" xfId="3" applyFont="1" applyBorder="1" applyAlignment="1">
      <alignment horizontal="right" wrapText="1"/>
    </xf>
    <xf numFmtId="0" fontId="12" fillId="0" borderId="25" xfId="3" applyFont="1" applyBorder="1" applyAlignment="1">
      <alignment horizontal="right" wrapText="1"/>
    </xf>
    <xf numFmtId="0" fontId="11" fillId="0" borderId="26" xfId="3" applyBorder="1" applyAlignment="1">
      <alignment horizontal="center"/>
    </xf>
    <xf numFmtId="0" fontId="12" fillId="0" borderId="0" xfId="3" applyFont="1" applyAlignment="1">
      <alignment wrapText="1"/>
    </xf>
    <xf numFmtId="0" fontId="2" fillId="6" borderId="11" xfId="3" applyFont="1" applyFill="1" applyBorder="1" applyAlignment="1" applyProtection="1">
      <alignment horizontal="center" vertical="center" wrapText="1"/>
      <protection locked="0"/>
    </xf>
    <xf numFmtId="0" fontId="2" fillId="6" borderId="12" xfId="3" applyFont="1" applyFill="1" applyBorder="1" applyAlignment="1" applyProtection="1">
      <alignment horizontal="center" vertical="center" wrapText="1"/>
      <protection locked="0"/>
    </xf>
    <xf numFmtId="0" fontId="2" fillId="6" borderId="17" xfId="3" applyFont="1" applyFill="1" applyBorder="1" applyAlignment="1" applyProtection="1">
      <alignment horizontal="center" vertical="center" wrapText="1"/>
      <protection locked="0"/>
    </xf>
    <xf numFmtId="0" fontId="0" fillId="8" borderId="1" xfId="3" applyFont="1" applyFill="1" applyBorder="1" applyAlignment="1">
      <alignment horizontal="center" vertical="center" wrapText="1"/>
    </xf>
    <xf numFmtId="0" fontId="11" fillId="8" borderId="3" xfId="3" applyFill="1" applyBorder="1" applyAlignment="1">
      <alignment horizontal="center" vertical="center" wrapText="1"/>
    </xf>
    <xf numFmtId="0" fontId="11" fillId="8" borderId="4" xfId="3" applyFill="1" applyBorder="1" applyAlignment="1">
      <alignment horizontal="center" vertical="center" wrapText="1"/>
    </xf>
    <xf numFmtId="0" fontId="0" fillId="0" borderId="0" xfId="3" applyFont="1" applyAlignment="1">
      <alignment horizontal="left"/>
    </xf>
    <xf numFmtId="0" fontId="11" fillId="0" borderId="0" xfId="3" applyAlignment="1">
      <alignment horizontal="left"/>
    </xf>
    <xf numFmtId="0" fontId="0" fillId="0" borderId="0" xfId="3" applyFont="1" applyAlignment="1">
      <alignment wrapText="1"/>
    </xf>
    <xf numFmtId="0" fontId="11" fillId="0" borderId="0" xfId="3" applyAlignment="1">
      <alignment wrapText="1"/>
    </xf>
    <xf numFmtId="0" fontId="11" fillId="0" borderId="7" xfId="3" applyBorder="1" applyAlignment="1">
      <alignment wrapText="1"/>
    </xf>
    <xf numFmtId="0" fontId="2" fillId="6" borderId="5" xfId="3" applyFont="1" applyFill="1" applyBorder="1" applyAlignment="1" applyProtection="1">
      <alignment horizontal="center" vertical="center" wrapText="1"/>
      <protection locked="0"/>
    </xf>
    <xf numFmtId="0" fontId="2" fillId="6" borderId="8" xfId="3" applyFont="1" applyFill="1" applyBorder="1" applyAlignment="1" applyProtection="1">
      <alignment horizontal="center" vertical="center" wrapText="1"/>
      <protection locked="0"/>
    </xf>
    <xf numFmtId="0" fontId="12" fillId="0" borderId="36" xfId="3" applyFont="1" applyBorder="1" applyAlignment="1">
      <alignment horizontal="right" wrapText="1"/>
    </xf>
    <xf numFmtId="4" fontId="41" fillId="0" borderId="58" xfId="0" applyNumberFormat="1" applyFont="1" applyBorder="1" applyAlignment="1">
      <alignment horizontal="center" vertical="center"/>
    </xf>
    <xf numFmtId="4" fontId="41" fillId="0" borderId="59" xfId="0" applyNumberFormat="1" applyFont="1" applyBorder="1" applyAlignment="1">
      <alignment horizontal="center" vertical="center"/>
    </xf>
    <xf numFmtId="0" fontId="1" fillId="0" borderId="48" xfId="0" applyFont="1" applyBorder="1" applyAlignment="1">
      <alignment horizontal="left" indent="7"/>
    </xf>
    <xf numFmtId="0" fontId="1" fillId="0" borderId="48" xfId="0" applyFont="1" applyBorder="1" applyAlignment="1">
      <alignment horizontal="left"/>
    </xf>
    <xf numFmtId="0" fontId="3" fillId="31" borderId="11" xfId="0" applyFont="1" applyFill="1" applyBorder="1" applyAlignment="1" applyProtection="1">
      <alignment horizontal="center" vertical="center"/>
      <protection locked="0"/>
    </xf>
    <xf numFmtId="0" fontId="3" fillId="31" borderId="12" xfId="0" applyFont="1" applyFill="1" applyBorder="1" applyAlignment="1" applyProtection="1">
      <alignment horizontal="center" vertical="center"/>
      <protection locked="0"/>
    </xf>
    <xf numFmtId="0" fontId="3" fillId="31" borderId="17" xfId="0" applyFont="1" applyFill="1" applyBorder="1" applyAlignment="1" applyProtection="1">
      <alignment horizontal="center" vertical="center"/>
      <protection locked="0"/>
    </xf>
    <xf numFmtId="0" fontId="5" fillId="30" borderId="48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 wrapText="1"/>
    </xf>
    <xf numFmtId="0" fontId="2" fillId="0" borderId="48" xfId="0" applyFont="1" applyBorder="1" applyAlignment="1">
      <alignment horizontal="center"/>
    </xf>
    <xf numFmtId="0" fontId="3" fillId="9" borderId="53" xfId="0" applyFont="1" applyFill="1" applyBorder="1" applyAlignment="1">
      <alignment horizontal="center" vertical="center"/>
    </xf>
    <xf numFmtId="0" fontId="3" fillId="9" borderId="49" xfId="0" applyFont="1" applyFill="1" applyBorder="1" applyAlignment="1">
      <alignment horizontal="center" vertical="center"/>
    </xf>
    <xf numFmtId="0" fontId="3" fillId="9" borderId="54" xfId="0" applyFont="1" applyFill="1" applyBorder="1" applyAlignment="1">
      <alignment horizontal="center" vertical="center"/>
    </xf>
    <xf numFmtId="49" fontId="8" fillId="31" borderId="51" xfId="0" applyNumberFormat="1" applyFont="1" applyFill="1" applyBorder="1" applyAlignment="1">
      <alignment horizontal="center" vertical="center" wrapText="1"/>
    </xf>
    <xf numFmtId="49" fontId="7" fillId="31" borderId="50" xfId="0" applyNumberFormat="1" applyFont="1" applyFill="1" applyBorder="1" applyAlignment="1">
      <alignment horizontal="center" vertical="center" wrapText="1"/>
    </xf>
    <xf numFmtId="49" fontId="7" fillId="31" borderId="52" xfId="0" applyNumberFormat="1" applyFont="1" applyFill="1" applyBorder="1" applyAlignment="1">
      <alignment horizontal="center" vertical="center" wrapText="1"/>
    </xf>
    <xf numFmtId="49" fontId="7" fillId="31" borderId="15" xfId="0" applyNumberFormat="1" applyFont="1" applyFill="1" applyBorder="1" applyAlignment="1">
      <alignment horizontal="center" vertical="center" wrapText="1"/>
    </xf>
    <xf numFmtId="49" fontId="7" fillId="31" borderId="0" xfId="0" applyNumberFormat="1" applyFont="1" applyFill="1" applyAlignment="1">
      <alignment horizontal="center" vertical="center" wrapText="1"/>
    </xf>
    <xf numFmtId="49" fontId="7" fillId="31" borderId="18" xfId="0" applyNumberFormat="1" applyFont="1" applyFill="1" applyBorder="1" applyAlignment="1">
      <alignment horizontal="center" vertical="center" wrapText="1"/>
    </xf>
    <xf numFmtId="49" fontId="7" fillId="31" borderId="19" xfId="0" applyNumberFormat="1" applyFont="1" applyFill="1" applyBorder="1" applyAlignment="1">
      <alignment horizontal="center" vertical="center" wrapText="1"/>
    </xf>
    <xf numFmtId="49" fontId="7" fillId="31" borderId="20" xfId="0" applyNumberFormat="1" applyFont="1" applyFill="1" applyBorder="1" applyAlignment="1">
      <alignment horizontal="center" vertical="center" wrapText="1"/>
    </xf>
    <xf numFmtId="49" fontId="7" fillId="31" borderId="2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center" wrapText="1"/>
      <protection locked="0"/>
    </xf>
    <xf numFmtId="0" fontId="2" fillId="2" borderId="2" xfId="0" applyFont="1" applyFill="1" applyBorder="1" applyAlignment="1" applyProtection="1">
      <alignment horizontal="left" vertical="center" wrapText="1"/>
      <protection locked="0"/>
    </xf>
    <xf numFmtId="0" fontId="2" fillId="2" borderId="6" xfId="0" applyFont="1" applyFill="1" applyBorder="1" applyAlignment="1" applyProtection="1">
      <alignment horizontal="left" vertical="center" wrapText="1"/>
      <protection locked="0"/>
    </xf>
    <xf numFmtId="0" fontId="2" fillId="32" borderId="1" xfId="5" applyFont="1" applyFill="1" applyBorder="1" applyAlignment="1" applyProtection="1">
      <alignment horizontal="center" vertical="center" wrapText="1"/>
      <protection locked="0"/>
    </xf>
    <xf numFmtId="0" fontId="2" fillId="32" borderId="2" xfId="5" applyFont="1" applyFill="1" applyBorder="1" applyAlignment="1" applyProtection="1">
      <alignment horizontal="center" vertical="center" wrapText="1"/>
      <protection locked="0"/>
    </xf>
    <xf numFmtId="0" fontId="2" fillId="32" borderId="6" xfId="5" applyFont="1" applyFill="1" applyBorder="1" applyAlignment="1" applyProtection="1">
      <alignment horizontal="center" vertical="center" wrapText="1"/>
      <protection locked="0"/>
    </xf>
    <xf numFmtId="0" fontId="2" fillId="32" borderId="3" xfId="5" applyFont="1" applyFill="1" applyBorder="1" applyAlignment="1" applyProtection="1">
      <alignment horizontal="center" vertical="center" wrapText="1"/>
      <protection locked="0"/>
    </xf>
    <xf numFmtId="0" fontId="2" fillId="32" borderId="0" xfId="5" applyFont="1" applyFill="1" applyAlignment="1" applyProtection="1">
      <alignment horizontal="center" vertical="center" wrapText="1"/>
      <protection locked="0"/>
    </xf>
    <xf numFmtId="0" fontId="2" fillId="32" borderId="7" xfId="5" applyFont="1" applyFill="1" applyBorder="1" applyAlignment="1" applyProtection="1">
      <alignment horizontal="center" vertical="center" wrapText="1"/>
      <protection locked="0"/>
    </xf>
    <xf numFmtId="0" fontId="2" fillId="32" borderId="4" xfId="5" applyFont="1" applyFill="1" applyBorder="1" applyAlignment="1" applyProtection="1">
      <alignment horizontal="center" vertical="center" wrapText="1"/>
      <protection locked="0"/>
    </xf>
    <xf numFmtId="0" fontId="2" fillId="32" borderId="5" xfId="5" applyFont="1" applyFill="1" applyBorder="1" applyAlignment="1" applyProtection="1">
      <alignment horizontal="center" vertical="center" wrapText="1"/>
      <protection locked="0"/>
    </xf>
    <xf numFmtId="0" fontId="2" fillId="32" borderId="8" xfId="5" applyFont="1" applyFill="1" applyBorder="1" applyAlignment="1" applyProtection="1">
      <alignment horizontal="center" vertical="center" wrapText="1"/>
      <protection locked="0"/>
    </xf>
    <xf numFmtId="0" fontId="3" fillId="32" borderId="1" xfId="0" applyFont="1" applyFill="1" applyBorder="1" applyAlignment="1" applyProtection="1">
      <alignment horizontal="center" vertical="center" wrapText="1"/>
      <protection locked="0"/>
    </xf>
    <xf numFmtId="0" fontId="3" fillId="32" borderId="2" xfId="0" applyFont="1" applyFill="1" applyBorder="1" applyAlignment="1" applyProtection="1">
      <alignment horizontal="center" vertical="center" wrapText="1"/>
      <protection locked="0"/>
    </xf>
    <xf numFmtId="0" fontId="3" fillId="32" borderId="6" xfId="0" applyFont="1" applyFill="1" applyBorder="1" applyAlignment="1" applyProtection="1">
      <alignment horizontal="center" vertical="center" wrapText="1"/>
      <protection locked="0"/>
    </xf>
    <xf numFmtId="0" fontId="3" fillId="32" borderId="3" xfId="0" applyFont="1" applyFill="1" applyBorder="1" applyAlignment="1" applyProtection="1">
      <alignment horizontal="center" vertical="center" wrapText="1"/>
      <protection locked="0"/>
    </xf>
    <xf numFmtId="0" fontId="3" fillId="32" borderId="0" xfId="0" applyFont="1" applyFill="1" applyAlignment="1" applyProtection="1">
      <alignment horizontal="center" vertical="center" wrapText="1"/>
      <protection locked="0"/>
    </xf>
    <xf numFmtId="0" fontId="3" fillId="32" borderId="7" xfId="0" applyFont="1" applyFill="1" applyBorder="1" applyAlignment="1" applyProtection="1">
      <alignment horizontal="center" vertical="center" wrapText="1"/>
      <protection locked="0"/>
    </xf>
    <xf numFmtId="0" fontId="3" fillId="32" borderId="4" xfId="0" applyFont="1" applyFill="1" applyBorder="1" applyAlignment="1" applyProtection="1">
      <alignment horizontal="center" vertical="center" wrapText="1"/>
      <protection locked="0"/>
    </xf>
    <xf numFmtId="0" fontId="3" fillId="32" borderId="5" xfId="0" applyFont="1" applyFill="1" applyBorder="1" applyAlignment="1" applyProtection="1">
      <alignment horizontal="center" vertical="center" wrapText="1"/>
      <protection locked="0"/>
    </xf>
    <xf numFmtId="0" fontId="3" fillId="32" borderId="8" xfId="0" applyFont="1" applyFill="1" applyBorder="1" applyAlignment="1" applyProtection="1">
      <alignment horizontal="center" vertical="center" wrapText="1"/>
      <protection locked="0"/>
    </xf>
    <xf numFmtId="0" fontId="45" fillId="0" borderId="56" xfId="3" applyFont="1" applyBorder="1" applyAlignment="1">
      <alignment horizontal="left" vertical="center" wrapText="1"/>
    </xf>
    <xf numFmtId="0" fontId="44" fillId="0" borderId="63" xfId="3" applyFont="1" applyBorder="1" applyAlignment="1">
      <alignment horizontal="left" vertical="center" wrapText="1"/>
    </xf>
    <xf numFmtId="0" fontId="45" fillId="0" borderId="56" xfId="3" applyFont="1" applyBorder="1" applyAlignment="1">
      <alignment horizontal="center" vertical="center" wrapText="1"/>
    </xf>
    <xf numFmtId="0" fontId="44" fillId="0" borderId="86" xfId="3" applyFont="1" applyBorder="1" applyAlignment="1">
      <alignment horizontal="left" vertical="center" wrapText="1"/>
    </xf>
    <xf numFmtId="0" fontId="44" fillId="0" borderId="84" xfId="3" applyFont="1" applyBorder="1" applyAlignment="1">
      <alignment horizontal="left" vertical="center" wrapText="1"/>
    </xf>
    <xf numFmtId="0" fontId="47" fillId="0" borderId="86" xfId="128" applyFont="1" applyFill="1" applyBorder="1" applyAlignment="1">
      <alignment horizontal="left" vertical="center" wrapText="1"/>
    </xf>
    <xf numFmtId="0" fontId="47" fillId="0" borderId="84" xfId="128" applyFont="1" applyFill="1" applyBorder="1" applyAlignment="1">
      <alignment horizontal="left" vertical="center" wrapText="1"/>
    </xf>
    <xf numFmtId="0" fontId="44" fillId="0" borderId="85" xfId="3" applyFont="1" applyBorder="1" applyAlignment="1">
      <alignment horizontal="left" vertical="center" wrapText="1"/>
    </xf>
    <xf numFmtId="0" fontId="44" fillId="0" borderId="49" xfId="3" applyFont="1" applyBorder="1" applyAlignment="1">
      <alignment horizontal="left" vertical="center" wrapText="1"/>
    </xf>
    <xf numFmtId="0" fontId="44" fillId="0" borderId="54" xfId="3" applyFont="1" applyBorder="1" applyAlignment="1">
      <alignment horizontal="left" vertical="center" wrapText="1"/>
    </xf>
    <xf numFmtId="0" fontId="44" fillId="0" borderId="22" xfId="3" applyFont="1" applyBorder="1" applyAlignment="1">
      <alignment horizontal="left" vertical="center" wrapText="1"/>
    </xf>
    <xf numFmtId="0" fontId="47" fillId="0" borderId="22" xfId="128" applyFont="1" applyFill="1" applyBorder="1" applyAlignment="1">
      <alignment horizontal="left" vertical="center" wrapText="1"/>
    </xf>
    <xf numFmtId="0" fontId="47" fillId="0" borderId="54" xfId="128" applyFont="1" applyFill="1" applyBorder="1" applyAlignment="1">
      <alignment horizontal="left" vertical="center" wrapText="1"/>
    </xf>
    <xf numFmtId="0" fontId="44" fillId="0" borderId="82" xfId="3" applyFont="1" applyBorder="1" applyAlignment="1">
      <alignment horizontal="left" vertical="center" wrapText="1"/>
    </xf>
    <xf numFmtId="0" fontId="44" fillId="0" borderId="83" xfId="3" applyFont="1" applyBorder="1" applyAlignment="1">
      <alignment horizontal="left" vertical="center" wrapText="1"/>
    </xf>
    <xf numFmtId="0" fontId="44" fillId="0" borderId="76" xfId="3" applyFont="1" applyBorder="1" applyAlignment="1">
      <alignment horizontal="left" vertical="center" wrapText="1"/>
    </xf>
    <xf numFmtId="0" fontId="46" fillId="0" borderId="57" xfId="3" applyFont="1" applyBorder="1" applyAlignment="1">
      <alignment horizontal="left" vertical="center" wrapText="1"/>
    </xf>
    <xf numFmtId="0" fontId="44" fillId="0" borderId="57" xfId="3" applyFont="1" applyBorder="1" applyAlignment="1">
      <alignment horizontal="left" vertical="center" wrapText="1"/>
    </xf>
    <xf numFmtId="0" fontId="47" fillId="0" borderId="57" xfId="128" applyFont="1" applyFill="1" applyBorder="1" applyAlignment="1">
      <alignment horizontal="left" vertical="center" wrapText="1"/>
    </xf>
    <xf numFmtId="0" fontId="44" fillId="0" borderId="74" xfId="3" applyFont="1" applyBorder="1" applyAlignment="1">
      <alignment horizontal="left" vertical="center" wrapText="1"/>
    </xf>
    <xf numFmtId="0" fontId="46" fillId="0" borderId="47" xfId="3" applyFont="1" applyBorder="1" applyAlignment="1">
      <alignment horizontal="left" vertical="center" wrapText="1"/>
    </xf>
    <xf numFmtId="0" fontId="44" fillId="0" borderId="47" xfId="3" applyFont="1" applyBorder="1" applyAlignment="1">
      <alignment horizontal="left" vertical="center" wrapText="1"/>
    </xf>
    <xf numFmtId="0" fontId="47" fillId="0" borderId="47" xfId="128" applyFont="1" applyFill="1" applyBorder="1" applyAlignment="1">
      <alignment horizontal="left" vertical="center" wrapText="1"/>
    </xf>
    <xf numFmtId="0" fontId="44" fillId="0" borderId="65" xfId="3" applyFont="1" applyBorder="1" applyAlignment="1">
      <alignment horizontal="left" vertical="center" wrapText="1"/>
    </xf>
    <xf numFmtId="0" fontId="46" fillId="0" borderId="9" xfId="3" applyFont="1" applyBorder="1" applyAlignment="1">
      <alignment horizontal="left" vertical="center" wrapText="1"/>
    </xf>
    <xf numFmtId="0" fontId="44" fillId="0" borderId="9" xfId="3" applyFont="1" applyBorder="1" applyAlignment="1">
      <alignment horizontal="left" vertical="center" wrapText="1"/>
    </xf>
    <xf numFmtId="0" fontId="47" fillId="0" borderId="9" xfId="128" applyFont="1" applyFill="1" applyBorder="1" applyAlignment="1">
      <alignment horizontal="left" vertical="center" wrapText="1"/>
    </xf>
    <xf numFmtId="0" fontId="0" fillId="0" borderId="63" xfId="3" applyFont="1" applyBorder="1" applyAlignment="1">
      <alignment horizontal="left" vertical="center" wrapText="1"/>
    </xf>
    <xf numFmtId="0" fontId="0" fillId="0" borderId="9" xfId="3" applyFont="1" applyBorder="1" applyAlignment="1">
      <alignment horizontal="left" vertical="center" wrapText="1"/>
    </xf>
    <xf numFmtId="0" fontId="11" fillId="0" borderId="9" xfId="3" applyBorder="1" applyAlignment="1">
      <alignment horizontal="left" vertical="center" wrapText="1"/>
    </xf>
    <xf numFmtId="0" fontId="44" fillId="0" borderId="80" xfId="3" applyFont="1" applyBorder="1" applyAlignment="1">
      <alignment horizontal="left" vertical="center" wrapText="1"/>
    </xf>
    <xf numFmtId="0" fontId="44" fillId="0" borderId="81" xfId="3" applyFont="1" applyBorder="1" applyAlignment="1">
      <alignment horizontal="left" vertical="center" wrapText="1"/>
    </xf>
    <xf numFmtId="0" fontId="44" fillId="0" borderId="79" xfId="3" applyFont="1" applyBorder="1" applyAlignment="1">
      <alignment horizontal="left" vertical="center" wrapText="1"/>
    </xf>
    <xf numFmtId="0" fontId="44" fillId="0" borderId="78" xfId="3" applyFont="1" applyBorder="1" applyAlignment="1">
      <alignment horizontal="left" vertical="center" wrapText="1"/>
    </xf>
    <xf numFmtId="0" fontId="47" fillId="0" borderId="78" xfId="128" applyFont="1" applyFill="1" applyBorder="1" applyAlignment="1">
      <alignment horizontal="left" vertical="center" wrapText="1"/>
    </xf>
    <xf numFmtId="0" fontId="47" fillId="0" borderId="79" xfId="128" applyFont="1" applyFill="1" applyBorder="1" applyAlignment="1">
      <alignment horizontal="left" vertical="center" wrapText="1"/>
    </xf>
    <xf numFmtId="0" fontId="42" fillId="0" borderId="57" xfId="128" applyFill="1" applyBorder="1" applyAlignment="1">
      <alignment horizontal="left" vertical="center" wrapText="1"/>
    </xf>
    <xf numFmtId="0" fontId="42" fillId="0" borderId="47" xfId="128" applyFill="1" applyBorder="1" applyAlignment="1">
      <alignment horizontal="left" vertical="center" wrapText="1"/>
    </xf>
    <xf numFmtId="44" fontId="42" fillId="0" borderId="9" xfId="128" applyNumberFormat="1" applyFill="1" applyBorder="1" applyAlignment="1">
      <alignment horizontal="left" vertical="center" wrapText="1"/>
    </xf>
    <xf numFmtId="0" fontId="48" fillId="0" borderId="9" xfId="128" applyFont="1" applyBorder="1" applyAlignment="1">
      <alignment horizontal="left" vertical="center" wrapText="1"/>
    </xf>
    <xf numFmtId="0" fontId="0" fillId="0" borderId="76" xfId="3" applyFont="1" applyBorder="1" applyAlignment="1">
      <alignment horizontal="left" vertical="center" wrapText="1"/>
    </xf>
    <xf numFmtId="0" fontId="11" fillId="0" borderId="57" xfId="3" applyBorder="1" applyAlignment="1">
      <alignment horizontal="left" vertical="center" wrapText="1"/>
    </xf>
    <xf numFmtId="0" fontId="0" fillId="0" borderId="57" xfId="3" applyFont="1" applyBorder="1" applyAlignment="1">
      <alignment horizontal="left" vertical="center" wrapText="1"/>
    </xf>
    <xf numFmtId="0" fontId="48" fillId="0" borderId="57" xfId="128" applyFont="1" applyBorder="1" applyAlignment="1">
      <alignment horizontal="left" vertical="center" wrapText="1"/>
    </xf>
    <xf numFmtId="0" fontId="0" fillId="0" borderId="74" xfId="3" applyFont="1" applyBorder="1" applyAlignment="1">
      <alignment horizontal="left" vertical="center" wrapText="1"/>
    </xf>
    <xf numFmtId="0" fontId="11" fillId="0" borderId="47" xfId="3" applyBorder="1" applyAlignment="1">
      <alignment horizontal="left" vertical="center" wrapText="1"/>
    </xf>
    <xf numFmtId="0" fontId="0" fillId="0" borderId="47" xfId="3" applyFont="1" applyBorder="1" applyAlignment="1">
      <alignment horizontal="left" vertical="center" wrapText="1"/>
    </xf>
    <xf numFmtId="0" fontId="42" fillId="0" borderId="47" xfId="128" applyBorder="1" applyAlignment="1">
      <alignment horizontal="left" vertical="center" wrapText="1"/>
    </xf>
    <xf numFmtId="0" fontId="0" fillId="0" borderId="65" xfId="3" applyFont="1" applyBorder="1" applyAlignment="1">
      <alignment horizontal="left" vertical="center" wrapText="1"/>
    </xf>
    <xf numFmtId="0" fontId="49" fillId="0" borderId="9" xfId="0" applyFont="1" applyBorder="1" applyAlignment="1">
      <alignment horizontal="center" vertical="center"/>
    </xf>
    <xf numFmtId="0" fontId="53" fillId="0" borderId="0" xfId="14" applyFont="1" applyAlignment="1" applyProtection="1">
      <alignment horizontal="center"/>
      <protection hidden="1"/>
    </xf>
    <xf numFmtId="0" fontId="54" fillId="0" borderId="0" xfId="14" applyFont="1" applyAlignment="1" applyProtection="1">
      <alignment horizontal="center"/>
      <protection hidden="1"/>
    </xf>
    <xf numFmtId="49" fontId="8" fillId="31" borderId="51" xfId="0" applyNumberFormat="1" applyFont="1" applyFill="1" applyBorder="1" applyAlignment="1">
      <alignment vertical="center" wrapText="1"/>
    </xf>
    <xf numFmtId="49" fontId="7" fillId="31" borderId="50" xfId="0" applyNumberFormat="1" applyFont="1" applyFill="1" applyBorder="1" applyAlignment="1">
      <alignment vertical="center" wrapText="1"/>
    </xf>
    <xf numFmtId="49" fontId="7" fillId="31" borderId="52" xfId="0" applyNumberFormat="1" applyFont="1" applyFill="1" applyBorder="1" applyAlignment="1">
      <alignment vertical="center" wrapText="1"/>
    </xf>
    <xf numFmtId="49" fontId="7" fillId="31" borderId="19" xfId="0" applyNumberFormat="1" applyFont="1" applyFill="1" applyBorder="1" applyAlignment="1">
      <alignment vertical="center" wrapText="1"/>
    </xf>
    <xf numFmtId="49" fontId="7" fillId="31" borderId="20" xfId="0" applyNumberFormat="1" applyFont="1" applyFill="1" applyBorder="1" applyAlignment="1">
      <alignment vertical="center" wrapText="1"/>
    </xf>
    <xf numFmtId="49" fontId="7" fillId="31" borderId="21" xfId="0" applyNumberFormat="1" applyFont="1" applyFill="1" applyBorder="1" applyAlignment="1">
      <alignment vertical="center" wrapText="1"/>
    </xf>
    <xf numFmtId="49" fontId="8" fillId="31" borderId="0" xfId="0" applyNumberFormat="1" applyFont="1" applyFill="1" applyBorder="1" applyAlignment="1">
      <alignment horizontal="center" vertical="center" wrapText="1"/>
    </xf>
    <xf numFmtId="49" fontId="8" fillId="31" borderId="15" xfId="0" applyNumberFormat="1" applyFont="1" applyFill="1" applyBorder="1" applyAlignment="1">
      <alignment horizontal="center" vertical="center" wrapText="1"/>
    </xf>
    <xf numFmtId="49" fontId="8" fillId="31" borderId="18" xfId="0" applyNumberFormat="1" applyFont="1" applyFill="1" applyBorder="1" applyAlignment="1">
      <alignment horizontal="center" vertical="center" wrapText="1"/>
    </xf>
    <xf numFmtId="49" fontId="8" fillId="31" borderId="0" xfId="0" applyNumberFormat="1" applyFont="1" applyFill="1" applyAlignment="1">
      <alignment horizontal="center" vertical="center" wrapText="1"/>
    </xf>
  </cellXfs>
  <cellStyles count="130">
    <cellStyle name="20% - Ênfase1 2" xfId="40" xr:uid="{C27DDB20-B94B-4974-9776-56D243E606D8}"/>
    <cellStyle name="20% - Ênfase2 2" xfId="41" xr:uid="{54254056-5CB2-450A-AA48-E28ABC9C32B8}"/>
    <cellStyle name="20% - Ênfase3 2" xfId="42" xr:uid="{36A9CEDD-17CE-43B6-AF2F-760AF4AB4DEA}"/>
    <cellStyle name="20% - Ênfase4 2" xfId="43" xr:uid="{80BD9DB1-BAE5-4DE3-A9F6-E43887E4A814}"/>
    <cellStyle name="20% - Ênfase5 2" xfId="44" xr:uid="{98E8454B-6A9E-4E6A-B740-74EE6D5A25F3}"/>
    <cellStyle name="20% - Ênfase6 2" xfId="45" xr:uid="{E60353AA-70E7-4CB2-9E7E-A271AF9E5DA5}"/>
    <cellStyle name="40% - Ênfase1 2" xfId="46" xr:uid="{21E346CF-94EF-47AA-B377-E19D99B6C1B8}"/>
    <cellStyle name="40% - Ênfase2 2" xfId="47" xr:uid="{5E61AC44-B1C2-4548-9361-2896CC4F57CD}"/>
    <cellStyle name="40% - Ênfase3 2" xfId="48" xr:uid="{6E08D339-A654-491B-9237-D483F74E5A9F}"/>
    <cellStyle name="40% - Ênfase4 2" xfId="49" xr:uid="{52890CE5-2E54-44F6-9254-CE12030610FB}"/>
    <cellStyle name="40% - Ênfase5 2" xfId="50" xr:uid="{F8D92BEE-B69E-43CA-84DF-67D7CF65FB11}"/>
    <cellStyle name="40% - Ênfase6 2" xfId="51" xr:uid="{7AFE68DD-DB74-420E-A440-23E835FB2451}"/>
    <cellStyle name="60% - Ênfase1 2" xfId="52" xr:uid="{0C408C7A-8E71-4949-925E-AA4163AADC40}"/>
    <cellStyle name="60% - Ênfase2 2" xfId="53" xr:uid="{021DD64A-54ED-4719-9E9F-6C038C28DB84}"/>
    <cellStyle name="60% - Ênfase3 2" xfId="54" xr:uid="{4B6497BA-B588-4036-B3BF-B725BCB3CDF2}"/>
    <cellStyle name="60% - Ênfase4 2" xfId="55" xr:uid="{1FB0F68A-147A-44C1-A414-F99E75241741}"/>
    <cellStyle name="60% - Ênfase5 2" xfId="56" xr:uid="{86B1F9AE-88E2-4B60-931A-C2D9C4733326}"/>
    <cellStyle name="60% - Ênfase6 2" xfId="57" xr:uid="{23E5EE6D-F19C-436F-BF36-7A44C12C1D82}"/>
    <cellStyle name="Bom 2" xfId="58" xr:uid="{FCECFFD2-76AB-4E5D-90DF-A9CF464F5B5D}"/>
    <cellStyle name="Cálculo 2" xfId="59" xr:uid="{5EA99F4B-7780-4140-977B-C4DABEA1B5DF}"/>
    <cellStyle name="Célula de Verificação 2" xfId="60" xr:uid="{CEA2D670-F3F8-4C2F-AF21-DB4EC05EE351}"/>
    <cellStyle name="Célula Vinculada 2" xfId="61" xr:uid="{DD71FF87-D5D8-4B4B-A98D-ABDD3B565ABA}"/>
    <cellStyle name="Ênfase1 2" xfId="62" xr:uid="{402CDDFD-8B1D-465A-9BF0-DC7A8BEEE711}"/>
    <cellStyle name="Ênfase2 2" xfId="63" xr:uid="{4B5C179C-7E1C-476B-B224-8EE58D602964}"/>
    <cellStyle name="Ênfase3 2" xfId="64" xr:uid="{06FA458E-67AD-4232-87F8-3D1349459C66}"/>
    <cellStyle name="Ênfase4 2" xfId="65" xr:uid="{178E15AE-25F9-451D-9166-940CB86A57E0}"/>
    <cellStyle name="Ênfase5 2" xfId="66" xr:uid="{81A42682-B138-47C6-901B-FC42D591FFC9}"/>
    <cellStyle name="Ênfase6 2" xfId="67" xr:uid="{D5BD36EB-5922-44A4-AF19-184F1203A0E8}"/>
    <cellStyle name="Entrada 2" xfId="68" xr:uid="{D39A5D92-9E46-45AF-879D-8DA3C4CDAAD1}"/>
    <cellStyle name="Excel Built-in Excel Built-in Excel Built-in Excel Built-in Excel Built-in Excel Built-in Excel Built-in Separador de milhares 4" xfId="91" xr:uid="{599AA947-A7AA-4464-A464-414237CE45F3}"/>
    <cellStyle name="Excel Built-in Normal" xfId="69" xr:uid="{82A4EE7B-B742-4087-B6D4-EAD3D89A9349}"/>
    <cellStyle name="Excel Built-in Normal 1" xfId="70" xr:uid="{ADC8BA5D-D724-4520-A738-8A20857B2B5D}"/>
    <cellStyle name="Hiperlink" xfId="128" builtinId="8"/>
    <cellStyle name="Moeda 2" xfId="1" xr:uid="{00000000-0005-0000-0000-000001000000}"/>
    <cellStyle name="Moeda 2 2" xfId="92" xr:uid="{7FDE22C3-9642-472E-A12D-3D2D405D6040}"/>
    <cellStyle name="Moeda 2 3" xfId="76" xr:uid="{FAD9B95D-B027-46F9-ACF0-8F1AA8674872}"/>
    <cellStyle name="Moeda 2 4" xfId="124" xr:uid="{10E5302F-866B-41BD-B0DA-6E224E14B302}"/>
    <cellStyle name="Moeda 3" xfId="93" xr:uid="{FC4B893A-2195-417F-A739-5EB6D70B1AA4}"/>
    <cellStyle name="Moeda 3 2" xfId="129" xr:uid="{BB366BCE-6EB1-40F4-B278-739F790BB9DF}"/>
    <cellStyle name="Moeda 4" xfId="88" xr:uid="{71A3519C-5580-40FE-A77B-E005291C7C68}"/>
    <cellStyle name="Moeda 5" xfId="77" xr:uid="{00AC7DBE-B73B-4615-91C4-AA04EA200FAF}"/>
    <cellStyle name="Moeda 6" xfId="123" xr:uid="{E728A64B-E785-4613-B9BF-E2B16B3653FF}"/>
    <cellStyle name="Neutro 2" xfId="72" xr:uid="{6C103F2E-78B0-4E25-BDC7-BEC05B19AE6D}"/>
    <cellStyle name="Normal" xfId="0" builtinId="0"/>
    <cellStyle name="Normal 10" xfId="2" xr:uid="{00000000-0005-0000-0000-000003000000}"/>
    <cellStyle name="Normal 10 2" xfId="3" xr:uid="{00000000-0005-0000-0000-000004000000}"/>
    <cellStyle name="Normal 11" xfId="4" xr:uid="{00000000-0005-0000-0000-000005000000}"/>
    <cellStyle name="Normal 11 2" xfId="5" xr:uid="{00000000-0005-0000-0000-000006000000}"/>
    <cellStyle name="Normal 12" xfId="6" xr:uid="{00000000-0005-0000-0000-000007000000}"/>
    <cellStyle name="Normal 13" xfId="7" xr:uid="{00000000-0005-0000-0000-000008000000}"/>
    <cellStyle name="Normal 14" xfId="8" xr:uid="{00000000-0005-0000-0000-000009000000}"/>
    <cellStyle name="Normal 15" xfId="9" xr:uid="{00000000-0005-0000-0000-00000A000000}"/>
    <cellStyle name="Normal 16" xfId="10" xr:uid="{00000000-0005-0000-0000-00000B000000}"/>
    <cellStyle name="Normal 17" xfId="11" xr:uid="{00000000-0005-0000-0000-00000C000000}"/>
    <cellStyle name="Normal 18" xfId="12" xr:uid="{00000000-0005-0000-0000-00000D000000}"/>
    <cellStyle name="Normal 19" xfId="13" xr:uid="{00000000-0005-0000-0000-00000E000000}"/>
    <cellStyle name="Normal 2" xfId="14" xr:uid="{00000000-0005-0000-0000-00000F000000}"/>
    <cellStyle name="Normal 2 2" xfId="95" xr:uid="{03666EE4-CCEA-4DED-AB32-6745123201F3}"/>
    <cellStyle name="Normal 2 3" xfId="96" xr:uid="{D9B56E9B-FC04-4AC0-B0AB-44FC69425111}"/>
    <cellStyle name="Normal 2 4" xfId="94" xr:uid="{2ABFF204-C8FB-4037-A6F0-0C0C0B4A7E21}"/>
    <cellStyle name="Normal 20" xfId="15" xr:uid="{00000000-0005-0000-0000-000010000000}"/>
    <cellStyle name="Normal 21" xfId="16" xr:uid="{00000000-0005-0000-0000-000011000000}"/>
    <cellStyle name="Normal 22" xfId="17" xr:uid="{00000000-0005-0000-0000-000012000000}"/>
    <cellStyle name="Normal 23" xfId="18" xr:uid="{00000000-0005-0000-0000-000013000000}"/>
    <cellStyle name="Normal 24" xfId="19" xr:uid="{00000000-0005-0000-0000-000014000000}"/>
    <cellStyle name="Normal 25" xfId="20" xr:uid="{00000000-0005-0000-0000-000015000000}"/>
    <cellStyle name="Normal 26" xfId="21" xr:uid="{00000000-0005-0000-0000-000016000000}"/>
    <cellStyle name="Normal 27" xfId="22" xr:uid="{00000000-0005-0000-0000-000017000000}"/>
    <cellStyle name="Normal 28" xfId="23" xr:uid="{00000000-0005-0000-0000-000018000000}"/>
    <cellStyle name="Normal 29" xfId="24" xr:uid="{00000000-0005-0000-0000-000019000000}"/>
    <cellStyle name="Normal 3" xfId="25" xr:uid="{00000000-0005-0000-0000-00001A000000}"/>
    <cellStyle name="Normal 3 2" xfId="74" xr:uid="{F7803D05-5E91-42FC-A82B-AC9BA8EBDBE5}"/>
    <cellStyle name="Normal 3 3" xfId="73" xr:uid="{EF21E04E-0159-4684-B96B-385D33196657}"/>
    <cellStyle name="Normal 4" xfId="26" xr:uid="{00000000-0005-0000-0000-00001B000000}"/>
    <cellStyle name="Normal 5" xfId="27" xr:uid="{00000000-0005-0000-0000-00001C000000}"/>
    <cellStyle name="Normal 5 2" xfId="28" xr:uid="{00000000-0005-0000-0000-00001D000000}"/>
    <cellStyle name="Normal 5 3" xfId="97" xr:uid="{F59B54B6-C74E-4D83-B39F-A9CF7D3E6AE5}"/>
    <cellStyle name="Normal 6" xfId="29" xr:uid="{00000000-0005-0000-0000-00001E000000}"/>
    <cellStyle name="Normal 6 2" xfId="98" xr:uid="{5DBE141D-64B9-4B50-99FC-FC717FB01777}"/>
    <cellStyle name="Normal 7" xfId="30" xr:uid="{00000000-0005-0000-0000-00001F000000}"/>
    <cellStyle name="Normal 8" xfId="31" xr:uid="{00000000-0005-0000-0000-000020000000}"/>
    <cellStyle name="Normal 9" xfId="32" xr:uid="{00000000-0005-0000-0000-000021000000}"/>
    <cellStyle name="Nota 2" xfId="75" xr:uid="{E7DE6874-ADD1-43C1-8BF5-C7D128BC8277}"/>
    <cellStyle name="Porcentagem" xfId="33" builtinId="5"/>
    <cellStyle name="Porcentagem 2" xfId="34" xr:uid="{00000000-0005-0000-0000-000023000000}"/>
    <cellStyle name="Porcentagem 2 2" xfId="101" xr:uid="{6814AAB5-5EF6-49C1-8084-1FE2EBC19382}"/>
    <cellStyle name="Porcentagem 2 3" xfId="35" xr:uid="{00000000-0005-0000-0000-000024000000}"/>
    <cellStyle name="Porcentagem 2 3 2" xfId="102" xr:uid="{BFFBF9BC-A0EC-46B9-8777-9E933DC8A84B}"/>
    <cellStyle name="Porcentagem 2 4" xfId="100" xr:uid="{C06366A9-F53D-42EE-BC5B-0101BF558D03}"/>
    <cellStyle name="Porcentagem 3" xfId="103" xr:uid="{21CC9FDF-2460-4E3D-8DDD-C769D094D806}"/>
    <cellStyle name="Porcentagem 4" xfId="99" xr:uid="{1A982FBD-E253-42AB-9352-18B5EAE3E547}"/>
    <cellStyle name="Ruim 2" xfId="71" xr:uid="{C5E62C06-92A7-49E8-96D1-17D6B13646D1}"/>
    <cellStyle name="Saída 2" xfId="78" xr:uid="{5CB661A5-0212-4EB5-B170-43AB1414386B}"/>
    <cellStyle name="Separador de milhares 2" xfId="104" xr:uid="{94C133E7-2EA4-4AAF-8CA8-13742FE25602}"/>
    <cellStyle name="Separador de milhares 2 2" xfId="105" xr:uid="{166146F1-586A-4F9F-813B-4984CD31E401}"/>
    <cellStyle name="Separador de milhares 2 2 2" xfId="106" xr:uid="{4AC745BE-E384-4151-8A6F-EF051F74C143}"/>
    <cellStyle name="Separador de milhares 2 3" xfId="107" xr:uid="{E2828A02-3BAE-4C58-9344-0B89D7B31E9A}"/>
    <cellStyle name="Separador de milhares 2 4" xfId="108" xr:uid="{73335B18-BA58-4DBD-A431-DE27CC00EFF7}"/>
    <cellStyle name="Separador de milhares 3" xfId="109" xr:uid="{7ED3D861-799E-4B8B-8A5C-4CD9A63E35FC}"/>
    <cellStyle name="Separador de milhares 3 2" xfId="110" xr:uid="{030994F8-0D78-4E88-8FCC-7DDD6C11C9CA}"/>
    <cellStyle name="Separador de milhares 4" xfId="111" xr:uid="{B1F9343B-1D12-40A6-A65C-FC780F9B49BC}"/>
    <cellStyle name="Separador de milhares 4 2" xfId="112" xr:uid="{83586183-3D55-498A-B682-C8D13BD96C09}"/>
    <cellStyle name="Separador de milhares 5" xfId="113" xr:uid="{D3C233EE-7ABC-443A-A4CD-DD5C5CB5505C}"/>
    <cellStyle name="Separador de milhares 5 2" xfId="90" xr:uid="{EB403556-C498-48D3-AF93-1222130DCC4D}"/>
    <cellStyle name="Separador de milhares 5 2 2" xfId="114" xr:uid="{63AC87AE-0FEB-4CA2-A06E-D0541428065E}"/>
    <cellStyle name="Separador de milhares 6" xfId="115" xr:uid="{A64D125C-D184-4B28-B8F9-CE8C18A51194}"/>
    <cellStyle name="Separador de milhares 6 2" xfId="116" xr:uid="{1148FFB9-DBC1-494F-B364-E2BAF09CD81B}"/>
    <cellStyle name="Texto de Aviso 2" xfId="80" xr:uid="{C7574BC8-63D4-4574-9E40-C418834E04B0}"/>
    <cellStyle name="Texto Explicativo 2" xfId="81" xr:uid="{D7601D5D-FA2B-479D-8B65-1E639BA5C65F}"/>
    <cellStyle name="Título 1 1" xfId="83" xr:uid="{D9C46696-E973-4376-A575-1E7B31883596}"/>
    <cellStyle name="Título 1 1 1" xfId="118" xr:uid="{A5D11388-D83F-428F-84D2-D3AE3F0FB18A}"/>
    <cellStyle name="Título 1 1 2" xfId="117" xr:uid="{66AA173A-6099-462F-BE7E-0679B28E000F}"/>
    <cellStyle name="Título 1 2" xfId="82" xr:uid="{A5C5B348-2D45-4D39-AB33-A45F4109D420}"/>
    <cellStyle name="Título 2 2" xfId="84" xr:uid="{C36E5043-01F2-4B55-B98C-3DDF275DBA7E}"/>
    <cellStyle name="Título 3 2" xfId="85" xr:uid="{20C79C29-2B99-4D49-BFC5-12A89609A5A4}"/>
    <cellStyle name="Título 4 2" xfId="86" xr:uid="{35787A6E-D0A9-488A-BAB2-481C91C9029D}"/>
    <cellStyle name="Total 2" xfId="87" xr:uid="{ED320E50-2759-44A1-AB12-479B49468E59}"/>
    <cellStyle name="Vírgula" xfId="36" builtinId="3"/>
    <cellStyle name="Vírgula 2" xfId="37" xr:uid="{00000000-0005-0000-0000-000026000000}"/>
    <cellStyle name="Vírgula 2 2" xfId="38" xr:uid="{00000000-0005-0000-0000-000027000000}"/>
    <cellStyle name="Vírgula 2 2 2" xfId="39" xr:uid="{00000000-0005-0000-0000-000028000000}"/>
    <cellStyle name="Vírgula 2 2 2 2" xfId="122" xr:uid="{8046C8A5-2FB4-4950-9C2B-ECAC7D4945FF}"/>
    <cellStyle name="Vírgula 2 2 2 3" xfId="127" xr:uid="{80FE4904-687D-43B0-84AB-7C81DE27AA8E}"/>
    <cellStyle name="Vírgula 2 2 3" xfId="120" xr:uid="{7DE8B4D7-0396-4CE0-A682-9CA90B8E8AFC}"/>
    <cellStyle name="Vírgula 2 3" xfId="121" xr:uid="{F18FC92F-6140-4740-A1DA-D35C91F2FBD7}"/>
    <cellStyle name="Vírgula 2 4" xfId="126" xr:uid="{8F9F0D04-0DDD-4356-BC75-381706BABB22}"/>
    <cellStyle name="Vírgula 3" xfId="89" xr:uid="{4753831A-28D4-4752-9926-910E9CDA582B}"/>
    <cellStyle name="Vírgula 4" xfId="119" xr:uid="{84FD7D3B-B20C-40EB-A77D-EC326887AD9A}"/>
    <cellStyle name="Vírgula 5" xfId="79" xr:uid="{5FEBF358-DDB7-4217-88E3-D67E2E7B19CB}"/>
    <cellStyle name="Vírgula 6" xfId="125" xr:uid="{DACECF2F-9C96-4C70-A03E-41CD3558A303}"/>
  </cellStyles>
  <dxfs count="0"/>
  <tableStyles count="0" defaultTableStyle="TableStyleMedium9" defaultPivotStyle="PivotStyleLight16"/>
  <colors>
    <mruColors>
      <color rgb="FFC8D1FC"/>
      <color rgb="FF8A9CF8"/>
      <color rgb="FFFFB7DB"/>
      <color rgb="FFC8F38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638175</xdr:colOff>
      <xdr:row>1</xdr:row>
      <xdr:rowOff>38100</xdr:rowOff>
    </xdr:from>
    <xdr:to>
      <xdr:col>3</xdr:col>
      <xdr:colOff>1600200</xdr:colOff>
      <xdr:row>7</xdr:row>
      <xdr:rowOff>133350</xdr:rowOff>
    </xdr:to>
    <xdr:sp macro="" textlink="">
      <xdr:nvSpPr>
        <xdr:cNvPr id="1219" name="Object 1" hidden="1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>
          <a:spLocks noChangeArrowheads="1"/>
        </xdr:cNvSpPr>
      </xdr:nvSpPr>
      <xdr:spPr bwMode="auto">
        <a:xfrm>
          <a:off x="2562225" y="209550"/>
          <a:ext cx="9620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523875</xdr:colOff>
      <xdr:row>2</xdr:row>
      <xdr:rowOff>47625</xdr:rowOff>
    </xdr:from>
    <xdr:to>
      <xdr:col>9</xdr:col>
      <xdr:colOff>739097</xdr:colOff>
      <xdr:row>7</xdr:row>
      <xdr:rowOff>9524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0" y="381000"/>
          <a:ext cx="1348697" cy="78104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</xdr:row>
      <xdr:rowOff>142875</xdr:rowOff>
    </xdr:from>
    <xdr:to>
      <xdr:col>3</xdr:col>
      <xdr:colOff>1478756</xdr:colOff>
      <xdr:row>7</xdr:row>
      <xdr:rowOff>107967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14325"/>
          <a:ext cx="2964656" cy="946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1514475</xdr:colOff>
      <xdr:row>1</xdr:row>
      <xdr:rowOff>9525</xdr:rowOff>
    </xdr:from>
    <xdr:to>
      <xdr:col>2</xdr:col>
      <xdr:colOff>2524125</xdr:colOff>
      <xdr:row>7</xdr:row>
      <xdr:rowOff>152400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524125" y="180975"/>
          <a:ext cx="10096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321470</xdr:colOff>
      <xdr:row>1</xdr:row>
      <xdr:rowOff>142875</xdr:rowOff>
    </xdr:from>
    <xdr:to>
      <xdr:col>2</xdr:col>
      <xdr:colOff>2488408</xdr:colOff>
      <xdr:row>7</xdr:row>
      <xdr:rowOff>88917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020" y="314325"/>
          <a:ext cx="2967038" cy="917592"/>
        </a:xfrm>
        <a:prstGeom prst="rect">
          <a:avLst/>
        </a:prstGeom>
      </xdr:spPr>
    </xdr:pic>
    <xdr:clientData/>
  </xdr:twoCellAnchor>
  <xdr:twoCellAnchor>
    <xdr:from>
      <xdr:col>2</xdr:col>
      <xdr:colOff>1514475</xdr:colOff>
      <xdr:row>1</xdr:row>
      <xdr:rowOff>9525</xdr:rowOff>
    </xdr:from>
    <xdr:to>
      <xdr:col>2</xdr:col>
      <xdr:colOff>2524125</xdr:colOff>
      <xdr:row>7</xdr:row>
      <xdr:rowOff>152400</xdr:rowOff>
    </xdr:to>
    <xdr:sp macro="" textlink="">
      <xdr:nvSpPr>
        <xdr:cNvPr id="12" name="Object 1" hidden="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2524125" y="180975"/>
          <a:ext cx="10096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321470</xdr:colOff>
      <xdr:row>1</xdr:row>
      <xdr:rowOff>142875</xdr:rowOff>
    </xdr:from>
    <xdr:to>
      <xdr:col>2</xdr:col>
      <xdr:colOff>2488408</xdr:colOff>
      <xdr:row>7</xdr:row>
      <xdr:rowOff>88917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020" y="314325"/>
          <a:ext cx="2967038" cy="917592"/>
        </a:xfrm>
        <a:prstGeom prst="rect">
          <a:avLst/>
        </a:prstGeom>
      </xdr:spPr>
    </xdr:pic>
    <xdr:clientData/>
  </xdr:twoCellAnchor>
  <xdr:twoCellAnchor>
    <xdr:from>
      <xdr:col>2</xdr:col>
      <xdr:colOff>1514475</xdr:colOff>
      <xdr:row>1</xdr:row>
      <xdr:rowOff>9525</xdr:rowOff>
    </xdr:from>
    <xdr:to>
      <xdr:col>2</xdr:col>
      <xdr:colOff>2524125</xdr:colOff>
      <xdr:row>7</xdr:row>
      <xdr:rowOff>152400</xdr:rowOff>
    </xdr:to>
    <xdr:sp macro="" textlink="">
      <xdr:nvSpPr>
        <xdr:cNvPr id="18" name="Object 1" hidden="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2524125" y="180975"/>
          <a:ext cx="10096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321470</xdr:colOff>
      <xdr:row>1</xdr:row>
      <xdr:rowOff>142875</xdr:rowOff>
    </xdr:from>
    <xdr:to>
      <xdr:col>2</xdr:col>
      <xdr:colOff>2488408</xdr:colOff>
      <xdr:row>7</xdr:row>
      <xdr:rowOff>88917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020" y="314325"/>
          <a:ext cx="2967038" cy="917592"/>
        </a:xfrm>
        <a:prstGeom prst="rect">
          <a:avLst/>
        </a:prstGeom>
      </xdr:spPr>
    </xdr:pic>
    <xdr:clientData/>
  </xdr:twoCellAnchor>
  <xdr:twoCellAnchor>
    <xdr:from>
      <xdr:col>2</xdr:col>
      <xdr:colOff>1514475</xdr:colOff>
      <xdr:row>1</xdr:row>
      <xdr:rowOff>9525</xdr:rowOff>
    </xdr:from>
    <xdr:to>
      <xdr:col>2</xdr:col>
      <xdr:colOff>2524125</xdr:colOff>
      <xdr:row>7</xdr:row>
      <xdr:rowOff>152400</xdr:rowOff>
    </xdr:to>
    <xdr:sp macro="" textlink="">
      <xdr:nvSpPr>
        <xdr:cNvPr id="22" name="Object 1" hidden="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2524125" y="180975"/>
          <a:ext cx="10096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321470</xdr:colOff>
      <xdr:row>1</xdr:row>
      <xdr:rowOff>142875</xdr:rowOff>
    </xdr:from>
    <xdr:to>
      <xdr:col>2</xdr:col>
      <xdr:colOff>2488408</xdr:colOff>
      <xdr:row>7</xdr:row>
      <xdr:rowOff>88917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020" y="314325"/>
          <a:ext cx="2967038" cy="917592"/>
        </a:xfrm>
        <a:prstGeom prst="rect">
          <a:avLst/>
        </a:prstGeom>
      </xdr:spPr>
    </xdr:pic>
    <xdr:clientData/>
  </xdr:twoCellAnchor>
  <xdr:twoCellAnchor editAs="oneCell">
    <xdr:from>
      <xdr:col>9</xdr:col>
      <xdr:colOff>464409</xdr:colOff>
      <xdr:row>1</xdr:row>
      <xdr:rowOff>130971</xdr:rowOff>
    </xdr:from>
    <xdr:to>
      <xdr:col>9</xdr:col>
      <xdr:colOff>2071688</xdr:colOff>
      <xdr:row>7</xdr:row>
      <xdr:rowOff>61644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690" y="333377"/>
          <a:ext cx="1607279" cy="9307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2619375</xdr:colOff>
      <xdr:row>1</xdr:row>
      <xdr:rowOff>57150</xdr:rowOff>
    </xdr:from>
    <xdr:to>
      <xdr:col>2</xdr:col>
      <xdr:colOff>3838575</xdr:colOff>
      <xdr:row>7</xdr:row>
      <xdr:rowOff>123825</xdr:rowOff>
    </xdr:to>
    <xdr:sp macro="" textlink="">
      <xdr:nvSpPr>
        <xdr:cNvPr id="2434" name="Object 1" hidden="1">
          <a:extLst>
            <a:ext uri="{FF2B5EF4-FFF2-40B4-BE49-F238E27FC236}">
              <a16:creationId xmlns:a16="http://schemas.microsoft.com/office/drawing/2014/main" id="{00000000-0008-0000-0200-000082090000}"/>
            </a:ext>
          </a:extLst>
        </xdr:cNvPr>
        <xdr:cNvSpPr>
          <a:spLocks noChangeArrowheads="1"/>
        </xdr:cNvSpPr>
      </xdr:nvSpPr>
      <xdr:spPr bwMode="auto">
        <a:xfrm>
          <a:off x="3143250" y="228600"/>
          <a:ext cx="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1171575</xdr:colOff>
      <xdr:row>1</xdr:row>
      <xdr:rowOff>28575</xdr:rowOff>
    </xdr:from>
    <xdr:to>
      <xdr:col>2</xdr:col>
      <xdr:colOff>2105025</xdr:colOff>
      <xdr:row>7</xdr:row>
      <xdr:rowOff>123825</xdr:rowOff>
    </xdr:to>
    <xdr:sp macro="" textlink="">
      <xdr:nvSpPr>
        <xdr:cNvPr id="2435" name="Object 6" hidden="1">
          <a:extLst>
            <a:ext uri="{FF2B5EF4-FFF2-40B4-BE49-F238E27FC236}">
              <a16:creationId xmlns:a16="http://schemas.microsoft.com/office/drawing/2014/main" id="{00000000-0008-0000-0200-000083090000}"/>
            </a:ext>
          </a:extLst>
        </xdr:cNvPr>
        <xdr:cNvSpPr>
          <a:spLocks noChangeArrowheads="1"/>
        </xdr:cNvSpPr>
      </xdr:nvSpPr>
      <xdr:spPr bwMode="auto">
        <a:xfrm>
          <a:off x="2000250" y="200025"/>
          <a:ext cx="9334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228600</xdr:colOff>
      <xdr:row>1</xdr:row>
      <xdr:rowOff>47625</xdr:rowOff>
    </xdr:from>
    <xdr:to>
      <xdr:col>3</xdr:col>
      <xdr:colOff>428625</xdr:colOff>
      <xdr:row>7</xdr:row>
      <xdr:rowOff>76200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19075"/>
          <a:ext cx="3133725" cy="1000125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1</xdr:row>
      <xdr:rowOff>133350</xdr:rowOff>
    </xdr:from>
    <xdr:to>
      <xdr:col>16</xdr:col>
      <xdr:colOff>78334</xdr:colOff>
      <xdr:row>7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3450" y="304800"/>
          <a:ext cx="1611859" cy="933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57150</xdr:rowOff>
        </xdr:from>
        <xdr:to>
          <xdr:col>3</xdr:col>
          <xdr:colOff>0</xdr:colOff>
          <xdr:row>7</xdr:row>
          <xdr:rowOff>123825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3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552450</xdr:colOff>
          <xdr:row>1</xdr:row>
          <xdr:rowOff>57150</xdr:rowOff>
        </xdr:from>
        <xdr:to>
          <xdr:col>2</xdr:col>
          <xdr:colOff>1000125</xdr:colOff>
          <xdr:row>7</xdr:row>
          <xdr:rowOff>95250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3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1</xdr:row>
          <xdr:rowOff>19050</xdr:rowOff>
        </xdr:from>
        <xdr:to>
          <xdr:col>4</xdr:col>
          <xdr:colOff>0</xdr:colOff>
          <xdr:row>8</xdr:row>
          <xdr:rowOff>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19050</xdr:colOff>
      <xdr:row>1</xdr:row>
      <xdr:rowOff>180975</xdr:rowOff>
    </xdr:from>
    <xdr:to>
      <xdr:col>1</xdr:col>
      <xdr:colOff>3152775</xdr:colOff>
      <xdr:row>7</xdr:row>
      <xdr:rowOff>47625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0"/>
          <a:ext cx="3133725" cy="100012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762001</xdr:colOff>
      <xdr:row>1</xdr:row>
      <xdr:rowOff>104686</xdr:rowOff>
    </xdr:from>
    <xdr:to>
      <xdr:col>9</xdr:col>
      <xdr:colOff>348573</xdr:colOff>
      <xdr:row>7</xdr:row>
      <xdr:rowOff>66675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51" y="304711"/>
          <a:ext cx="1891622" cy="10954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</xdr:row>
      <xdr:rowOff>28575</xdr:rowOff>
    </xdr:from>
    <xdr:to>
      <xdr:col>2</xdr:col>
      <xdr:colOff>609600</xdr:colOff>
      <xdr:row>7</xdr:row>
      <xdr:rowOff>161925</xdr:rowOff>
    </xdr:to>
    <xdr:sp macro="" textlink="">
      <xdr:nvSpPr>
        <xdr:cNvPr id="17603" name="Object 1" hidden="1">
          <a:extLst>
            <a:ext uri="{FF2B5EF4-FFF2-40B4-BE49-F238E27FC236}">
              <a16:creationId xmlns:a16="http://schemas.microsoft.com/office/drawing/2014/main" id="{00000000-0008-0000-0500-0000C3440000}"/>
            </a:ext>
          </a:extLst>
        </xdr:cNvPr>
        <xdr:cNvSpPr>
          <a:spLocks noChangeArrowheads="1"/>
        </xdr:cNvSpPr>
      </xdr:nvSpPr>
      <xdr:spPr bwMode="auto">
        <a:xfrm>
          <a:off x="838200" y="228600"/>
          <a:ext cx="11239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100854</xdr:colOff>
      <xdr:row>2</xdr:row>
      <xdr:rowOff>78442</xdr:rowOff>
    </xdr:from>
    <xdr:to>
      <xdr:col>2</xdr:col>
      <xdr:colOff>1266266</xdr:colOff>
      <xdr:row>6</xdr:row>
      <xdr:rowOff>42440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8" y="470648"/>
          <a:ext cx="2274794" cy="725998"/>
        </a:xfrm>
        <a:prstGeom prst="rect">
          <a:avLst/>
        </a:prstGeom>
      </xdr:spPr>
    </xdr:pic>
    <xdr:clientData/>
  </xdr:twoCellAnchor>
  <xdr:twoCellAnchor editAs="oneCell">
    <xdr:from>
      <xdr:col>3</xdr:col>
      <xdr:colOff>1013674</xdr:colOff>
      <xdr:row>1</xdr:row>
      <xdr:rowOff>179294</xdr:rowOff>
    </xdr:from>
    <xdr:to>
      <xdr:col>4</xdr:col>
      <xdr:colOff>878052</xdr:colOff>
      <xdr:row>6</xdr:row>
      <xdr:rowOff>108696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0498" y="381000"/>
          <a:ext cx="1522848" cy="8819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1</xdr:row>
      <xdr:rowOff>28575</xdr:rowOff>
    </xdr:from>
    <xdr:to>
      <xdr:col>2</xdr:col>
      <xdr:colOff>609600</xdr:colOff>
      <xdr:row>7</xdr:row>
      <xdr:rowOff>161925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838200" y="228600"/>
          <a:ext cx="11239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100854</xdr:colOff>
      <xdr:row>2</xdr:row>
      <xdr:rowOff>78442</xdr:rowOff>
    </xdr:from>
    <xdr:to>
      <xdr:col>2</xdr:col>
      <xdr:colOff>1266266</xdr:colOff>
      <xdr:row>6</xdr:row>
      <xdr:rowOff>42440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979" y="468967"/>
          <a:ext cx="2279837" cy="725998"/>
        </a:xfrm>
        <a:prstGeom prst="rect">
          <a:avLst/>
        </a:prstGeom>
      </xdr:spPr>
    </xdr:pic>
    <xdr:clientData/>
  </xdr:twoCellAnchor>
  <xdr:twoCellAnchor editAs="oneCell">
    <xdr:from>
      <xdr:col>3</xdr:col>
      <xdr:colOff>1013674</xdr:colOff>
      <xdr:row>1</xdr:row>
      <xdr:rowOff>179294</xdr:rowOff>
    </xdr:from>
    <xdr:to>
      <xdr:col>4</xdr:col>
      <xdr:colOff>878052</xdr:colOff>
      <xdr:row>6</xdr:row>
      <xdr:rowOff>108696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3299" y="379319"/>
          <a:ext cx="1521728" cy="8819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3</xdr:row>
      <xdr:rowOff>9525</xdr:rowOff>
    </xdr:from>
    <xdr:to>
      <xdr:col>2</xdr:col>
      <xdr:colOff>1619250</xdr:colOff>
      <xdr:row>8</xdr:row>
      <xdr:rowOff>17631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590550"/>
          <a:ext cx="3009900" cy="960606"/>
        </a:xfrm>
        <a:prstGeom prst="rect">
          <a:avLst/>
        </a:prstGeom>
      </xdr:spPr>
    </xdr:pic>
    <xdr:clientData/>
  </xdr:twoCellAnchor>
  <xdr:twoCellAnchor editAs="oneCell">
    <xdr:from>
      <xdr:col>7</xdr:col>
      <xdr:colOff>409574</xdr:colOff>
      <xdr:row>3</xdr:row>
      <xdr:rowOff>10647</xdr:rowOff>
    </xdr:from>
    <xdr:to>
      <xdr:col>9</xdr:col>
      <xdr:colOff>215221</xdr:colOff>
      <xdr:row>8</xdr:row>
      <xdr:rowOff>47624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4" y="591672"/>
          <a:ext cx="1729697" cy="9894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311728</xdr:colOff>
      <xdr:row>3</xdr:row>
      <xdr:rowOff>182997</xdr:rowOff>
    </xdr:from>
    <xdr:to>
      <xdr:col>4</xdr:col>
      <xdr:colOff>4110472</xdr:colOff>
      <xdr:row>36</xdr:row>
      <xdr:rowOff>142874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773" y="1135497"/>
          <a:ext cx="8180244" cy="6246377"/>
        </a:xfrm>
        <a:prstGeom prst="rect">
          <a:avLst/>
        </a:prstGeom>
      </xdr:spPr>
    </xdr:pic>
    <xdr:clientData/>
  </xdr:twoCellAnchor>
  <xdr:twoCellAnchor editAs="oneCell">
    <xdr:from>
      <xdr:col>0</xdr:col>
      <xdr:colOff>1078056</xdr:colOff>
      <xdr:row>40</xdr:row>
      <xdr:rowOff>139224</xdr:rowOff>
    </xdr:from>
    <xdr:to>
      <xdr:col>5</xdr:col>
      <xdr:colOff>92940</xdr:colOff>
      <xdr:row>71</xdr:row>
      <xdr:rowOff>67983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8056" y="9283224"/>
          <a:ext cx="8972839" cy="5834259"/>
        </a:xfrm>
        <a:prstGeom prst="rect">
          <a:avLst/>
        </a:prstGeom>
      </xdr:spPr>
    </xdr:pic>
    <xdr:clientData/>
  </xdr:twoCellAnchor>
  <xdr:twoCellAnchor editAs="oneCell">
    <xdr:from>
      <xdr:col>1</xdr:col>
      <xdr:colOff>100446</xdr:colOff>
      <xdr:row>75</xdr:row>
      <xdr:rowOff>117559</xdr:rowOff>
    </xdr:from>
    <xdr:to>
      <xdr:col>5</xdr:col>
      <xdr:colOff>230153</xdr:colOff>
      <xdr:row>114</xdr:row>
      <xdr:rowOff>56689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1491" y="17072059"/>
          <a:ext cx="8996617" cy="7368630"/>
        </a:xfrm>
        <a:prstGeom prst="rect">
          <a:avLst/>
        </a:prstGeom>
      </xdr:spPr>
    </xdr:pic>
    <xdr:clientData/>
  </xdr:twoCellAnchor>
  <xdr:twoCellAnchor editAs="oneCell">
    <xdr:from>
      <xdr:col>0</xdr:col>
      <xdr:colOff>949641</xdr:colOff>
      <xdr:row>120</xdr:row>
      <xdr:rowOff>105641</xdr:rowOff>
    </xdr:from>
    <xdr:to>
      <xdr:col>5</xdr:col>
      <xdr:colOff>361891</xdr:colOff>
      <xdr:row>156</xdr:row>
      <xdr:rowOff>49748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9641" y="26775641"/>
          <a:ext cx="9370205" cy="680210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161</xdr:row>
      <xdr:rowOff>22512</xdr:rowOff>
    </xdr:from>
    <xdr:to>
      <xdr:col>5</xdr:col>
      <xdr:colOff>459450</xdr:colOff>
      <xdr:row>193</xdr:row>
      <xdr:rowOff>4544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8196" y="35542103"/>
          <a:ext cx="9269209" cy="6026077"/>
        </a:xfrm>
        <a:prstGeom prst="rect">
          <a:avLst/>
        </a:prstGeom>
      </xdr:spPr>
    </xdr:pic>
    <xdr:clientData/>
  </xdr:twoCellAnchor>
  <xdr:twoCellAnchor editAs="oneCell">
    <xdr:from>
      <xdr:col>0</xdr:col>
      <xdr:colOff>1011235</xdr:colOff>
      <xdr:row>199</xdr:row>
      <xdr:rowOff>133274</xdr:rowOff>
    </xdr:from>
    <xdr:to>
      <xdr:col>5</xdr:col>
      <xdr:colOff>210415</xdr:colOff>
      <xdr:row>237</xdr:row>
      <xdr:rowOff>50575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1235" y="43584592"/>
          <a:ext cx="9157135" cy="7052392"/>
        </a:xfrm>
        <a:prstGeom prst="rect">
          <a:avLst/>
        </a:prstGeom>
      </xdr:spPr>
    </xdr:pic>
    <xdr:clientData/>
  </xdr:twoCellAnchor>
  <xdr:twoCellAnchor editAs="oneCell">
    <xdr:from>
      <xdr:col>0</xdr:col>
      <xdr:colOff>594812</xdr:colOff>
      <xdr:row>317</xdr:row>
      <xdr:rowOff>37129</xdr:rowOff>
    </xdr:from>
    <xdr:to>
      <xdr:col>5</xdr:col>
      <xdr:colOff>322984</xdr:colOff>
      <xdr:row>344</xdr:row>
      <xdr:rowOff>67915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4812" y="69292538"/>
          <a:ext cx="9686127" cy="4810604"/>
        </a:xfrm>
        <a:prstGeom prst="rect">
          <a:avLst/>
        </a:prstGeom>
      </xdr:spPr>
    </xdr:pic>
    <xdr:clientData/>
  </xdr:twoCellAnchor>
  <xdr:twoCellAnchor editAs="oneCell">
    <xdr:from>
      <xdr:col>0</xdr:col>
      <xdr:colOff>848159</xdr:colOff>
      <xdr:row>279</xdr:row>
      <xdr:rowOff>141141</xdr:rowOff>
    </xdr:from>
    <xdr:to>
      <xdr:col>5</xdr:col>
      <xdr:colOff>384334</xdr:colOff>
      <xdr:row>311</xdr:row>
      <xdr:rowOff>21647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8159" y="61031868"/>
          <a:ext cx="9494130" cy="5924551"/>
        </a:xfrm>
        <a:prstGeom prst="rect">
          <a:avLst/>
        </a:prstGeom>
      </xdr:spPr>
    </xdr:pic>
    <xdr:clientData/>
  </xdr:twoCellAnchor>
  <xdr:twoCellAnchor editAs="oneCell">
    <xdr:from>
      <xdr:col>0</xdr:col>
      <xdr:colOff>979343</xdr:colOff>
      <xdr:row>243</xdr:row>
      <xdr:rowOff>91488</xdr:rowOff>
    </xdr:from>
    <xdr:to>
      <xdr:col>5</xdr:col>
      <xdr:colOff>280058</xdr:colOff>
      <xdr:row>274</xdr:row>
      <xdr:rowOff>3724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9343" y="52808033"/>
          <a:ext cx="9258670" cy="57657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STA%20%20DE%20TRABALHO/FABIOSALEME/CAIXA2005/COT%20ANALISE%20PUB/saomateus/unidade%20de%20saude/docenviados21122017/US_3%20-%20AMPLIACAO%20SM%2006_10_17%20-%20REV-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ds01\profiles$\leonedas.vasconcelos\Desktop\US3%20-%20Licitar\REFPORMA\PLANILHAS\US_3%20-%20REFORMA%20SM%2006_10_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-%2014-07-16%20-%20111111111111/LACOPE/Licita&#231;&#245;es/Prefeitura%20de%20Aracruz/EBS/Alambrados%20nos%20Campos%20de%20Futebol/SITE/Pl%20057-%20Instala&#231;ao%20de%20Alambrados%20em%20Campo%20de%20Futebol%20Sahy,%20Pau%20Brasil%20e%20Planalto-REV-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CAMENTO"/>
      <sheetName val="CRONOGRAMA"/>
      <sheetName val="MEMORIA DE CALCULO"/>
      <sheetName val="BDI"/>
      <sheetName val="ENCARGOS SOCIAIS"/>
      <sheetName val="COMPOSICOES"/>
      <sheetName val="COMPOSICOES AUXILIARES"/>
      <sheetName val="COMPOSICOES (2)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0">
          <cell r="G120">
            <v>30.659999999999997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I"/>
      <sheetName val="ENCARGOS SOCIAIS"/>
    </sheetNames>
    <sheetDataSet>
      <sheetData sheetId="0">
        <row r="41">
          <cell r="E41">
            <v>0.28220000000000001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Válido"/>
      <sheetName val="Composições"/>
      <sheetName val="Lista Preço"/>
      <sheetName val="Resumo"/>
      <sheetName val="Cronograma"/>
      <sheetName val="Composição BDI"/>
      <sheetName val="Composição Leis Sociais"/>
    </sheetNames>
    <sheetDataSet>
      <sheetData sheetId="0" refreshError="1"/>
      <sheetData sheetId="1" refreshError="1"/>
      <sheetData sheetId="2">
        <row r="13">
          <cell r="A13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com.br/Access-Corporativo-Intelbras-Roteadores-Branca/dp/B077V83M34/ref=asc_df_B077V83M34/?tag=googleshopp00-20&amp;linkCode=df0&amp;hvadid=379817877038&amp;hvpos=&amp;hvnetw=g&amp;hvrand=13058979084620637979&amp;hvpone=&amp;hvptwo=&amp;hvqmt=&amp;hvdev=c&amp;hvdvcmdl=&amp;hvlocint=&amp;hvlocphy=1001544&amp;hvtargid=pla-811830116098&amp;psc=1" TargetMode="External"/><Relationship Id="rId3" Type="http://schemas.openxmlformats.org/officeDocument/2006/relationships/hyperlink" Target="https://www.magazineluiza.com.br/holofote-refletor-de-led-linear-torre-400w-ip68-branco-bivolt-rca/p/je8bc29f00/cj/rftr/?&amp;seller_id=pjiluminacao&amp;utm_source=google&amp;utm_medium=pla&amp;utm_campaign=&amp;partner_id=69579&amp;gclid=CjwKCAjwkaSaBhA4EiwALBgQaHbPJdyMiLMPOXRBEQ6AudJfCvENcsUP7BrLUHbqWwnD7V_j7U1wQRoCo5UQAvD_BwE&amp;gclsrc=aw.ds" TargetMode="External"/><Relationship Id="rId7" Type="http://schemas.openxmlformats.org/officeDocument/2006/relationships/hyperlink" Target="https://www.efacil.com.br/loja/produto/access-point-intelbras-ap310-wireless-10-100mbps-2310201/?canal=ca_9784&amp;gclid=CjwKCAjw_ISWBhBkEiwAdqxb9i5sBNdTexuqHYLK5g45cnGJrWCU7m3mNhUc6gnna0XBViewGxZx_RoCWuoQAvD_BwE" TargetMode="External"/><Relationship Id="rId12" Type="http://schemas.openxmlformats.org/officeDocument/2006/relationships/drawing" Target="../drawings/drawing8.xml"/><Relationship Id="rId2" Type="http://schemas.openxmlformats.org/officeDocument/2006/relationships/hyperlink" Target="https://www.digitalled.com.br/refletores-de-led/refletor-de-led-linear-para-campo-quadra-400w-ip68-flood-light-direcionavel?parceiro=5222&amp;gclid=CjwKCAjwkaSaBhA4EiwALBgQaGTeInQgQ6QNjQZaKyCiJGHyIJn7rCklV88c44QLIxE-OJAtEZrQdxoCXlIQAvD_BwE" TargetMode="External"/><Relationship Id="rId1" Type="http://schemas.openxmlformats.org/officeDocument/2006/relationships/hyperlink" Target="https://www.americanas.com.br/produto/4803723561?epar=bp_pl_00_go_cc_pmax_geral&amp;opn=YSMESP&amp;WT.srch=1&amp;aid=6239da2e132c90a7860d56ba&amp;sid=38714745000276&amp;pid=4803723561&amp;chave=vnzpla_6239da2e132c90a7860d56ba_38714745000276_4803723561&amp;offerId=622a119c87c00289c252c3f0&amp;gclid=Cj0KCQjwhqaVBhCxARIsAHK1tiNmFPt1y5hAeIVbFSg9wbTIcXtMnsuCSHgDr1k7r0pBZwB02n8LxnIaAh__EALw_wcB" TargetMode="External"/><Relationship Id="rId6" Type="http://schemas.openxmlformats.org/officeDocument/2006/relationships/hyperlink" Target="https://www.digitalled.com.br/refletores-de-led/refletor-200w-led-smd-branco-frio-ip66?parceiro=5222&amp;gclid=Cj0KCQjwhqaVBhCxARIsAHK1tiO1ra1grkmngxsEDKBR79L1UB3UV6Wz9kHXHviHao_Hwgb-4p1h5LIaAjSWEALw_wcB" TargetMode="External"/><Relationship Id="rId11" Type="http://schemas.openxmlformats.org/officeDocument/2006/relationships/printerSettings" Target="../printerSettings/printerSettings8.bin"/><Relationship Id="rId5" Type="http://schemas.openxmlformats.org/officeDocument/2006/relationships/hyperlink" Target="https://www.shoptime.com.br/produto/4762441671?epar=bp_pl_px_go_pmax_casaeconstrucao&amp;opn=GOOGLEXML&amp;WT.srch=1&amp;offerId=621d5e4e01eed16e395b7cee&amp;gclid=Cj0KCQjwhqaVBhCxARIsAHK1tiODgeAZHBn4YsvUsJFsXUybtw5_lxpLwHyBhhbZ8Tq80nHFUhfBwGcaAmItEALw_wcB&amp;cor=Preto&amp;voltagem=110V%2F220V" TargetMode="External"/><Relationship Id="rId10" Type="http://schemas.openxmlformats.org/officeDocument/2006/relationships/hyperlink" Target="mailto:contato@fortlevsolar.com.br" TargetMode="External"/><Relationship Id="rId4" Type="http://schemas.openxmlformats.org/officeDocument/2006/relationships/hyperlink" Target="https://www.americanas.com.br/produto/4762441671?epar=bp_pl_00_go_cc_pmax_geral&amp;opn=YSMESP&amp;WT.srch=1&amp;offerId=621d5e4f87c00289c28ce8f2&amp;gclid=Cj0KCQjwhqaVBhCxARIsAHK1tiPjNcnNnUriQFT3xcjONNfpzf3Hq5qxofU933_SLXGZw5jM10PmR2oaAqpiEALw_wcB&amp;cor=Preto&amp;voltagem=110V%2F220V" TargetMode="External"/><Relationship Id="rId9" Type="http://schemas.openxmlformats.org/officeDocument/2006/relationships/hyperlink" Target="https://www.magazineluiza.com.br/access-point-coorporativo-300mbps-ap-310-bivolt-auto-modelo-4750008-intelbras/p/abg05k245b/in/sspt/?&amp;seller_id=mirandacomputacao&amp;utm_source=google&amp;utm_medium=pla&amp;utm_campaign=&amp;partner_id=65409&amp;gclid=CjwKCAjw_ISWBhBkEiwAdqxb9rtALjYVAc2nUC04sjKUvcVYJC7n8lJ9llk78nN52ZYv4XgCC7GA3hoCuxsQAvD_BwE&amp;gclsrc=aw.ds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mazon.com.br/Access-Corporativo-Intelbras-Roteadores-Branca/dp/B077V83M34/ref=asc_df_B077V83M34/?tag=googleshopp00-20&amp;linkCode=df0&amp;hvadid=379817877038&amp;hvpos=&amp;hvnetw=g&amp;hvrand=13058979084620637979&amp;hvpone=&amp;hvptwo=&amp;hvqmt=&amp;hvdev=c&amp;hvdvcmdl=&amp;hvlocint=&amp;hvlocphy=1001544&amp;hvtargid=pla-811830116098&amp;psc=1" TargetMode="External"/><Relationship Id="rId3" Type="http://schemas.openxmlformats.org/officeDocument/2006/relationships/hyperlink" Target="https://www.digitalled.com.br/refletores-de-led/refletor-de-led-linear-para-campo-quadra-400w-ip68-flood-light-direcionavel?parceiro=5222&amp;gclid=CjwKCAjwkaSaBhA4EiwALBgQaGTeInQgQ6QNjQZaKyCiJGHyIJn7rCklV88c44QLIxE-OJAtEZrQdxoCXlIQAvD_BwE" TargetMode="External"/><Relationship Id="rId7" Type="http://schemas.openxmlformats.org/officeDocument/2006/relationships/hyperlink" Target="https://www.magazineluiza.com.br/access-point-corporativo-300mbps-ap-310-bivolt-auto-modelo-4750008-intelbras/p/abg05k245b/in/sspt/?seller_id=mirandacomputacao&amp;utm_source=google&amp;utm_medium=pla&amp;utm_campaign=&amp;partner_id=65409&amp;gclid=CjwKCAjw_ISWBhBkEiwAdqxb9rtALjYVAc2nUC04sjKUvcVYJC7n8lJ9llk78nN52ZYv4XgCC7GA3hoCuxsQAvD_BwE&amp;gclsrc=aw.ds" TargetMode="External"/><Relationship Id="rId2" Type="http://schemas.openxmlformats.org/officeDocument/2006/relationships/hyperlink" Target="https://www.magazineluiza.com.br/holofote-refletor-400w-de-led-linear-torre-ip68-branco-bivolt-led-ecologia/p/je8bc29f00/cj/rftr/?seller_id=pjiluminacao&amp;utm_source=google&amp;utm_medium=pla&amp;utm_campaign=&amp;partner_id=69579&amp;gclid=CjwKCAjwkaSaBhA4EiwALBgQaHbPJdyMiLMPOXRBEQ6AudJfCvENcsUP7BrLUHbqWwnD7V_j7U1wQRoCo5UQAvD_BwE&amp;gclsrc=aw.ds" TargetMode="External"/><Relationship Id="rId1" Type="http://schemas.openxmlformats.org/officeDocument/2006/relationships/hyperlink" Target="https://www.ledrj.com.br/iluminacao-esportiva/refletor-holofote-super-led-stadium-blindado-200w-ip-68-5-anos-de-garantia" TargetMode="External"/><Relationship Id="rId6" Type="http://schemas.openxmlformats.org/officeDocument/2006/relationships/hyperlink" Target="https://www.upperseg.com.br/informatica/roteadores-wireless/roteadores/access-point-corporativo-roteador-wireless-com-gerenciamento-centralizado-ap-310-intelbras/?gclid=CjwKCAjwtuOlBhBREiwA7agf1t5h9E3azJR0BgvOwphWX4RV9D5Gk8ieH08G7tRcngPlgTFdV5VSIhoCBUoQAvD_BwE" TargetMode="External"/><Relationship Id="rId5" Type="http://schemas.openxmlformats.org/officeDocument/2006/relationships/hyperlink" Target="https://www.arcoirisled.com.br/refletor-led-mini-floodlight-200w-branco-frio-ip67-82930?utm_source=Site&amp;utm_medium=GoogleMerchant&amp;utm_campaign=GoogleMerchant&amp;gad=1&amp;gclid=CjwKCAjwtuOlBhBREiwA7agf1o1UP8pT6l0uoH9vFLRYt9T9pMZcQWH5S-tkjIS8mCsWn3H-HeeHThoCbQUQAvD_BwE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s://www.iluminim.com.br/mini-refletor-holofote-led-smd-200w-branco-frio-ip67?utm_source=Site&amp;utm_medium=GoogleMerchant&amp;utm_campaign=GoogleMerchant&amp;gad=1&amp;gclid=CjwKCAjwtuOlBhBREiwA7agf1hquCSW1jMdXItUvajZ6yKRjf143HUAKWXedTKX14-0cYK20ohcdtBoCZ7QQAvD_BwE" TargetMode="External"/><Relationship Id="rId9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  <outlinePr summaryBelow="0"/>
  </sheetPr>
  <dimension ref="B1:L300"/>
  <sheetViews>
    <sheetView view="pageBreakPreview" topLeftCell="A280" zoomScaleNormal="100" zoomScaleSheetLayoutView="100" workbookViewId="0">
      <selection activeCell="R298" sqref="R298"/>
    </sheetView>
  </sheetViews>
  <sheetFormatPr defaultColWidth="9.140625" defaultRowHeight="12.75"/>
  <cols>
    <col min="1" max="1" width="3.28515625" style="10" customWidth="1"/>
    <col min="2" max="2" width="9.28515625" style="10" customWidth="1"/>
    <col min="3" max="3" width="16.28515625" style="10" customWidth="1"/>
    <col min="4" max="4" width="59.28515625" style="10" customWidth="1"/>
    <col min="5" max="5" width="11.5703125" style="10" customWidth="1"/>
    <col min="6" max="6" width="9.28515625" style="10" customWidth="1"/>
    <col min="7" max="7" width="10.7109375" style="10" customWidth="1"/>
    <col min="8" max="8" width="12.42578125" style="10" customWidth="1"/>
    <col min="9" max="9" width="17" style="10" customWidth="1"/>
    <col min="10" max="10" width="15.28515625" style="10" customWidth="1"/>
    <col min="11" max="16384" width="9.140625" style="10"/>
  </cols>
  <sheetData>
    <row r="1" spans="2:10" ht="13.5" thickBot="1"/>
    <row r="2" spans="2:10">
      <c r="B2" s="326" t="s">
        <v>170</v>
      </c>
      <c r="C2" s="327"/>
      <c r="D2" s="327"/>
      <c r="E2" s="327"/>
      <c r="F2" s="327"/>
      <c r="G2" s="327"/>
      <c r="H2" s="327"/>
      <c r="I2" s="327"/>
      <c r="J2" s="328"/>
    </row>
    <row r="3" spans="2:10">
      <c r="B3" s="329"/>
      <c r="C3" s="330"/>
      <c r="D3" s="330"/>
      <c r="E3" s="330"/>
      <c r="F3" s="330"/>
      <c r="G3" s="330"/>
      <c r="H3" s="330"/>
      <c r="I3" s="330"/>
      <c r="J3" s="331"/>
    </row>
    <row r="4" spans="2:10">
      <c r="B4" s="329"/>
      <c r="C4" s="330"/>
      <c r="D4" s="330"/>
      <c r="E4" s="330"/>
      <c r="F4" s="330"/>
      <c r="G4" s="330"/>
      <c r="H4" s="330"/>
      <c r="I4" s="330"/>
      <c r="J4" s="331"/>
    </row>
    <row r="5" spans="2:10">
      <c r="B5" s="329"/>
      <c r="C5" s="330"/>
      <c r="D5" s="330"/>
      <c r="E5" s="330"/>
      <c r="F5" s="330"/>
      <c r="G5" s="330"/>
      <c r="H5" s="330"/>
      <c r="I5" s="330"/>
      <c r="J5" s="331"/>
    </row>
    <row r="6" spans="2:10" ht="11.25" customHeight="1">
      <c r="B6" s="329"/>
      <c r="C6" s="330"/>
      <c r="D6" s="330"/>
      <c r="E6" s="330"/>
      <c r="F6" s="330"/>
      <c r="G6" s="330"/>
      <c r="H6" s="330"/>
      <c r="I6" s="330"/>
      <c r="J6" s="331"/>
    </row>
    <row r="7" spans="2:10" ht="15" customHeight="1">
      <c r="B7" s="329"/>
      <c r="C7" s="330"/>
      <c r="D7" s="330"/>
      <c r="E7" s="330"/>
      <c r="F7" s="330"/>
      <c r="G7" s="330"/>
      <c r="H7" s="330"/>
      <c r="I7" s="330"/>
      <c r="J7" s="331"/>
    </row>
    <row r="8" spans="2:10" ht="13.5" thickBot="1">
      <c r="B8" s="332"/>
      <c r="C8" s="333"/>
      <c r="D8" s="333"/>
      <c r="E8" s="333"/>
      <c r="F8" s="333"/>
      <c r="G8" s="333"/>
      <c r="H8" s="333"/>
      <c r="I8" s="333"/>
      <c r="J8" s="334"/>
    </row>
    <row r="9" spans="2:10" ht="13.5" thickBot="1">
      <c r="B9" s="5"/>
      <c r="C9" s="5"/>
      <c r="D9" s="5"/>
      <c r="E9" s="39"/>
      <c r="F9" s="5"/>
      <c r="G9" s="40"/>
      <c r="H9" s="41"/>
      <c r="I9" s="42"/>
      <c r="J9" s="42"/>
    </row>
    <row r="10" spans="2:10" ht="15" customHeight="1">
      <c r="B10" s="1" t="s">
        <v>770</v>
      </c>
      <c r="C10" s="43"/>
      <c r="D10" s="43"/>
      <c r="E10" s="2"/>
      <c r="F10" s="3"/>
      <c r="G10" s="44"/>
      <c r="H10" s="45"/>
      <c r="I10" s="196"/>
      <c r="J10" s="197"/>
    </row>
    <row r="11" spans="2:10" ht="15">
      <c r="B11" s="4" t="s">
        <v>171</v>
      </c>
      <c r="C11" s="46"/>
      <c r="D11" s="46"/>
      <c r="E11" s="39"/>
      <c r="F11" s="5"/>
      <c r="G11" s="6"/>
      <c r="H11" s="47"/>
      <c r="I11" s="42"/>
      <c r="J11" s="48"/>
    </row>
    <row r="12" spans="2:10" ht="15.75" thickBot="1">
      <c r="B12" s="7" t="s">
        <v>657</v>
      </c>
      <c r="C12" s="49"/>
      <c r="D12" s="49"/>
      <c r="E12" s="8"/>
      <c r="F12" s="9"/>
      <c r="G12" s="50"/>
      <c r="H12" s="51"/>
      <c r="I12" s="198"/>
      <c r="J12" s="199"/>
    </row>
    <row r="13" spans="2:10" ht="13.5" thickBot="1">
      <c r="B13" s="46"/>
      <c r="C13" s="46"/>
      <c r="D13" s="46"/>
      <c r="E13" s="39"/>
      <c r="F13" s="5"/>
      <c r="G13" s="6"/>
      <c r="H13" s="47"/>
      <c r="I13" s="42"/>
      <c r="J13" s="42"/>
    </row>
    <row r="14" spans="2:10" ht="37.5" customHeight="1" thickBot="1">
      <c r="B14" s="338" t="s">
        <v>775</v>
      </c>
      <c r="C14" s="339"/>
      <c r="D14" s="339"/>
      <c r="E14" s="340"/>
      <c r="F14" s="52" t="s">
        <v>1</v>
      </c>
      <c r="G14" s="143">
        <f>BDI</f>
        <v>0.28236215718070978</v>
      </c>
      <c r="H14" s="268">
        <f>'BDI DIFERENCIADO'!BDI</f>
        <v>0.15570000000000001</v>
      </c>
      <c r="I14" s="94" t="s">
        <v>114</v>
      </c>
      <c r="J14" s="119"/>
    </row>
    <row r="15" spans="2:10" ht="8.25" customHeight="1" thickBot="1">
      <c r="B15" s="5"/>
      <c r="C15" s="5"/>
      <c r="D15" s="5"/>
      <c r="E15" s="39"/>
      <c r="F15" s="5"/>
      <c r="G15" s="40"/>
      <c r="H15" s="41"/>
      <c r="I15" s="42"/>
      <c r="J15" s="42"/>
    </row>
    <row r="16" spans="2:10" ht="13.5" thickBot="1">
      <c r="B16" s="335" t="s">
        <v>2</v>
      </c>
      <c r="C16" s="336"/>
      <c r="D16" s="336"/>
      <c r="E16" s="336"/>
      <c r="F16" s="336"/>
      <c r="G16" s="336"/>
      <c r="H16" s="336"/>
      <c r="I16" s="336"/>
      <c r="J16" s="337"/>
    </row>
    <row r="17" spans="2:10" ht="39" customHeight="1" thickBot="1">
      <c r="B17" s="53" t="s">
        <v>4</v>
      </c>
      <c r="C17" s="54" t="s">
        <v>5</v>
      </c>
      <c r="D17" s="54" t="s">
        <v>6</v>
      </c>
      <c r="E17" s="54" t="s">
        <v>7</v>
      </c>
      <c r="F17" s="54" t="s">
        <v>8</v>
      </c>
      <c r="G17" s="55" t="s">
        <v>9</v>
      </c>
      <c r="H17" s="54" t="s">
        <v>10</v>
      </c>
      <c r="I17" s="55" t="s">
        <v>11</v>
      </c>
      <c r="J17" s="56" t="s">
        <v>12</v>
      </c>
    </row>
    <row r="18" spans="2:10" s="126" customFormat="1" ht="12.75" customHeight="1">
      <c r="B18" s="127">
        <v>1</v>
      </c>
      <c r="C18" s="314" t="s">
        <v>99</v>
      </c>
      <c r="D18" s="323"/>
      <c r="E18" s="128"/>
      <c r="F18" s="129"/>
      <c r="G18" s="129"/>
      <c r="H18" s="130"/>
      <c r="I18" s="131"/>
      <c r="J18" s="125">
        <f>SUM(J19+J33)</f>
        <v>223138.74</v>
      </c>
    </row>
    <row r="19" spans="2:10">
      <c r="B19" s="161" t="s">
        <v>116</v>
      </c>
      <c r="C19" s="318" t="s">
        <v>556</v>
      </c>
      <c r="D19" s="320"/>
      <c r="E19" s="162"/>
      <c r="F19" s="163"/>
      <c r="G19" s="163"/>
      <c r="H19" s="164"/>
      <c r="I19" s="165"/>
      <c r="J19" s="166">
        <f>SUM(J20:J32)</f>
        <v>108382.39999999998</v>
      </c>
    </row>
    <row r="20" spans="2:10">
      <c r="B20" s="90" t="s">
        <v>557</v>
      </c>
      <c r="C20" s="93">
        <v>20305</v>
      </c>
      <c r="D20" s="90" t="s">
        <v>81</v>
      </c>
      <c r="E20" s="37" t="s">
        <v>80</v>
      </c>
      <c r="F20" s="37" t="s">
        <v>26</v>
      </c>
      <c r="G20" s="38">
        <f>VLOOKUP(B20,'MEMORIA DE CALCULO'!B:K,10,0)</f>
        <v>8</v>
      </c>
      <c r="H20" s="38">
        <v>242.13</v>
      </c>
      <c r="I20" s="38">
        <f t="shared" ref="I20:I48" si="0">ROUND($H20*(1+$G$14),2)</f>
        <v>310.5</v>
      </c>
      <c r="J20" s="38">
        <f t="shared" ref="J20:J26" si="1">ROUND(G20*I20,2)</f>
        <v>2484</v>
      </c>
    </row>
    <row r="21" spans="2:10" ht="17.25" customHeight="1">
      <c r="B21" s="90" t="s">
        <v>558</v>
      </c>
      <c r="C21" s="37">
        <v>10501</v>
      </c>
      <c r="D21" s="90" t="s">
        <v>568</v>
      </c>
      <c r="E21" s="37" t="s">
        <v>80</v>
      </c>
      <c r="F21" s="37" t="s">
        <v>26</v>
      </c>
      <c r="G21" s="38">
        <f>VLOOKUP(B21,'MEMORIA DE CALCULO'!B:K,10,0)</f>
        <v>975</v>
      </c>
      <c r="H21" s="38">
        <v>10.97</v>
      </c>
      <c r="I21" s="38">
        <f t="shared" si="0"/>
        <v>14.07</v>
      </c>
      <c r="J21" s="38">
        <f t="shared" ref="J21" si="2">ROUND(G21*I21,2)</f>
        <v>13718.25</v>
      </c>
    </row>
    <row r="22" spans="2:10" ht="46.5" customHeight="1">
      <c r="B22" s="90" t="s">
        <v>559</v>
      </c>
      <c r="C22" s="37">
        <v>20712</v>
      </c>
      <c r="D22" s="90" t="s">
        <v>76</v>
      </c>
      <c r="E22" s="37" t="s">
        <v>80</v>
      </c>
      <c r="F22" s="93" t="s">
        <v>27</v>
      </c>
      <c r="G22" s="38">
        <f>VLOOKUP(B22,'MEMORIA DE CALCULO'!B:K,10,0)</f>
        <v>15</v>
      </c>
      <c r="H22" s="38">
        <v>53.19</v>
      </c>
      <c r="I22" s="38">
        <f t="shared" si="0"/>
        <v>68.209999999999994</v>
      </c>
      <c r="J22" s="38">
        <f t="shared" si="1"/>
        <v>1023.15</v>
      </c>
    </row>
    <row r="23" spans="2:10" ht="51">
      <c r="B23" s="90" t="s">
        <v>560</v>
      </c>
      <c r="C23" s="37">
        <v>20713</v>
      </c>
      <c r="D23" s="90" t="s">
        <v>157</v>
      </c>
      <c r="E23" s="37" t="s">
        <v>80</v>
      </c>
      <c r="F23" s="37" t="s">
        <v>27</v>
      </c>
      <c r="G23" s="38">
        <f>VLOOKUP(B23,'MEMORIA DE CALCULO'!B:K,10,0)</f>
        <v>15</v>
      </c>
      <c r="H23" s="38">
        <v>493.36</v>
      </c>
      <c r="I23" s="38">
        <f t="shared" si="0"/>
        <v>632.66999999999996</v>
      </c>
      <c r="J23" s="38">
        <f t="shared" si="1"/>
        <v>9490.0499999999993</v>
      </c>
    </row>
    <row r="24" spans="2:10" ht="38.25">
      <c r="B24" s="90" t="s">
        <v>561</v>
      </c>
      <c r="C24" s="37">
        <v>20714</v>
      </c>
      <c r="D24" s="90" t="s">
        <v>113</v>
      </c>
      <c r="E24" s="37" t="s">
        <v>80</v>
      </c>
      <c r="F24" s="37" t="s">
        <v>27</v>
      </c>
      <c r="G24" s="38">
        <f>VLOOKUP(B24,'MEMORIA DE CALCULO'!B:K,10,0)</f>
        <v>15</v>
      </c>
      <c r="H24" s="38">
        <v>384.56</v>
      </c>
      <c r="I24" s="38">
        <f t="shared" si="0"/>
        <v>493.15</v>
      </c>
      <c r="J24" s="38">
        <f t="shared" ref="J24" si="3">ROUND(G24*I24,2)</f>
        <v>7397.25</v>
      </c>
    </row>
    <row r="25" spans="2:10" ht="51">
      <c r="B25" s="90" t="s">
        <v>562</v>
      </c>
      <c r="C25" s="93">
        <v>20351</v>
      </c>
      <c r="D25" s="90" t="s">
        <v>83</v>
      </c>
      <c r="E25" s="37" t="s">
        <v>80</v>
      </c>
      <c r="F25" s="37" t="s">
        <v>27</v>
      </c>
      <c r="G25" s="38">
        <f>VLOOKUP(B25,'MEMORIA DE CALCULO'!B:K,10,0)</f>
        <v>60</v>
      </c>
      <c r="H25" s="38">
        <v>193.41</v>
      </c>
      <c r="I25" s="38">
        <f t="shared" si="0"/>
        <v>248.02</v>
      </c>
      <c r="J25" s="38">
        <f t="shared" si="1"/>
        <v>14881.2</v>
      </c>
    </row>
    <row r="26" spans="2:10" ht="63.75">
      <c r="B26" s="90" t="s">
        <v>563</v>
      </c>
      <c r="C26" s="93">
        <v>20352</v>
      </c>
      <c r="D26" s="90" t="s">
        <v>90</v>
      </c>
      <c r="E26" s="37" t="s">
        <v>80</v>
      </c>
      <c r="F26" s="37" t="s">
        <v>82</v>
      </c>
      <c r="G26" s="38">
        <f>VLOOKUP(B26,'MEMORIA DE CALCULO'!B:K,10,0)</f>
        <v>14</v>
      </c>
      <c r="H26" s="38">
        <v>989</v>
      </c>
      <c r="I26" s="38">
        <f>ROUND($H26*(1+$H$14),2)</f>
        <v>1142.99</v>
      </c>
      <c r="J26" s="38">
        <f t="shared" si="1"/>
        <v>16001.86</v>
      </c>
    </row>
    <row r="27" spans="2:10" ht="38.25">
      <c r="B27" s="90" t="s">
        <v>564</v>
      </c>
      <c r="C27" s="93">
        <v>93212</v>
      </c>
      <c r="D27" s="90" t="s">
        <v>228</v>
      </c>
      <c r="E27" s="37" t="s">
        <v>172</v>
      </c>
      <c r="F27" s="37" t="s">
        <v>26</v>
      </c>
      <c r="G27" s="38">
        <f>VLOOKUP(B27,'MEMORIA DE CALCULO'!B:K,10,0)</f>
        <v>10</v>
      </c>
      <c r="H27" s="38">
        <v>992.26</v>
      </c>
      <c r="I27" s="38">
        <f t="shared" si="0"/>
        <v>1272.44</v>
      </c>
      <c r="J27" s="38">
        <f t="shared" ref="J27" si="4">ROUND(G27*I27,2)</f>
        <v>12724.4</v>
      </c>
    </row>
    <row r="28" spans="2:10" ht="51">
      <c r="B28" s="90" t="s">
        <v>565</v>
      </c>
      <c r="C28" s="93">
        <v>20708</v>
      </c>
      <c r="D28" s="90" t="s">
        <v>719</v>
      </c>
      <c r="E28" s="37" t="s">
        <v>80</v>
      </c>
      <c r="F28" s="37" t="s">
        <v>26</v>
      </c>
      <c r="G28" s="38">
        <f>VLOOKUP(B28,'MEMORIA DE CALCULO'!B:K,10,0)</f>
        <v>12</v>
      </c>
      <c r="H28" s="38">
        <v>222.79</v>
      </c>
      <c r="I28" s="38">
        <f t="shared" si="0"/>
        <v>285.7</v>
      </c>
      <c r="J28" s="38">
        <f t="shared" ref="J28" si="5">ROUND(G28*I28,2)</f>
        <v>3428.4</v>
      </c>
    </row>
    <row r="29" spans="2:10" ht="51">
      <c r="B29" s="90" t="s">
        <v>715</v>
      </c>
      <c r="C29" s="93">
        <v>20709</v>
      </c>
      <c r="D29" s="90" t="s">
        <v>720</v>
      </c>
      <c r="E29" s="37" t="s">
        <v>80</v>
      </c>
      <c r="F29" s="37" t="s">
        <v>26</v>
      </c>
      <c r="G29" s="38">
        <f>VLOOKUP(B29,'MEMORIA DE CALCULO'!B:K,10,0)</f>
        <v>6</v>
      </c>
      <c r="H29" s="38">
        <v>295.44</v>
      </c>
      <c r="I29" s="38">
        <f t="shared" si="0"/>
        <v>378.86</v>
      </c>
      <c r="J29" s="38">
        <f t="shared" ref="J29:J31" si="6">ROUND(G29*I29,2)</f>
        <v>2273.16</v>
      </c>
    </row>
    <row r="30" spans="2:10" ht="51">
      <c r="B30" s="90" t="s">
        <v>716</v>
      </c>
      <c r="C30" s="93">
        <v>20702</v>
      </c>
      <c r="D30" s="90" t="s">
        <v>721</v>
      </c>
      <c r="E30" s="37" t="s">
        <v>80</v>
      </c>
      <c r="F30" s="37" t="s">
        <v>26</v>
      </c>
      <c r="G30" s="38">
        <f>VLOOKUP(B30,'MEMORIA DE CALCULO'!B:K,10,0)</f>
        <v>10.9</v>
      </c>
      <c r="H30" s="38">
        <v>606.6</v>
      </c>
      <c r="I30" s="38">
        <f t="shared" si="0"/>
        <v>777.88</v>
      </c>
      <c r="J30" s="38">
        <f t="shared" si="6"/>
        <v>8478.89</v>
      </c>
    </row>
    <row r="31" spans="2:10" ht="51">
      <c r="B31" s="90" t="s">
        <v>717</v>
      </c>
      <c r="C31" s="93">
        <v>20704</v>
      </c>
      <c r="D31" s="90" t="s">
        <v>722</v>
      </c>
      <c r="E31" s="37" t="s">
        <v>80</v>
      </c>
      <c r="F31" s="37" t="s">
        <v>26</v>
      </c>
      <c r="G31" s="38">
        <f>VLOOKUP(B31,'MEMORIA DE CALCULO'!B:K,10,0)</f>
        <v>15</v>
      </c>
      <c r="H31" s="38">
        <v>481.03</v>
      </c>
      <c r="I31" s="38">
        <f t="shared" si="0"/>
        <v>616.85</v>
      </c>
      <c r="J31" s="38">
        <f t="shared" si="6"/>
        <v>9252.75</v>
      </c>
    </row>
    <row r="32" spans="2:10" ht="25.5">
      <c r="B32" s="90" t="s">
        <v>718</v>
      </c>
      <c r="C32" s="93">
        <v>20711</v>
      </c>
      <c r="D32" s="90" t="s">
        <v>723</v>
      </c>
      <c r="E32" s="37" t="s">
        <v>80</v>
      </c>
      <c r="F32" s="37" t="s">
        <v>77</v>
      </c>
      <c r="G32" s="38">
        <f>VLOOKUP(B32,'MEMORIA DE CALCULO'!B:K,10,0)</f>
        <v>2</v>
      </c>
      <c r="H32" s="38">
        <v>2818.64</v>
      </c>
      <c r="I32" s="38">
        <f t="shared" si="0"/>
        <v>3614.52</v>
      </c>
      <c r="J32" s="38">
        <f t="shared" ref="J32" si="7">ROUND(G32*I32,2)</f>
        <v>7229.04</v>
      </c>
    </row>
    <row r="33" spans="2:10">
      <c r="B33" s="161" t="s">
        <v>500</v>
      </c>
      <c r="C33" s="318" t="s">
        <v>567</v>
      </c>
      <c r="D33" s="320"/>
      <c r="E33" s="162"/>
      <c r="F33" s="163"/>
      <c r="G33" s="163"/>
      <c r="H33" s="164"/>
      <c r="I33" s="165"/>
      <c r="J33" s="166">
        <f>SUM(J34:J44)</f>
        <v>114756.34000000003</v>
      </c>
    </row>
    <row r="34" spans="2:10" ht="18" customHeight="1">
      <c r="B34" s="90" t="s">
        <v>566</v>
      </c>
      <c r="C34" s="93">
        <v>10209</v>
      </c>
      <c r="D34" s="90" t="s">
        <v>576</v>
      </c>
      <c r="E34" s="37" t="s">
        <v>80</v>
      </c>
      <c r="F34" s="37" t="s">
        <v>95</v>
      </c>
      <c r="G34" s="38">
        <f>VLOOKUP(B34,'MEMORIA DE CALCULO'!B:K,10,0)</f>
        <v>180</v>
      </c>
      <c r="H34" s="38">
        <v>53.96</v>
      </c>
      <c r="I34" s="38">
        <f t="shared" si="0"/>
        <v>69.2</v>
      </c>
      <c r="J34" s="38">
        <f t="shared" ref="J34:J35" si="8">ROUND(G34*I34,2)</f>
        <v>12456</v>
      </c>
    </row>
    <row r="35" spans="2:10" ht="18" customHeight="1">
      <c r="B35" s="90" t="s">
        <v>569</v>
      </c>
      <c r="C35" s="37">
        <v>10219</v>
      </c>
      <c r="D35" s="90" t="s">
        <v>577</v>
      </c>
      <c r="E35" s="37" t="s">
        <v>80</v>
      </c>
      <c r="F35" s="93" t="s">
        <v>95</v>
      </c>
      <c r="G35" s="38">
        <f>VLOOKUP(B35,'MEMORIA DE CALCULO'!B:K,10,0)</f>
        <v>4.58</v>
      </c>
      <c r="H35" s="38">
        <v>297.08</v>
      </c>
      <c r="I35" s="38">
        <f t="shared" si="0"/>
        <v>380.96</v>
      </c>
      <c r="J35" s="38">
        <f t="shared" si="8"/>
        <v>1744.8</v>
      </c>
    </row>
    <row r="36" spans="2:10" ht="18" customHeight="1">
      <c r="B36" s="90" t="s">
        <v>570</v>
      </c>
      <c r="C36" s="93">
        <v>10286</v>
      </c>
      <c r="D36" s="90" t="s">
        <v>578</v>
      </c>
      <c r="E36" s="37" t="s">
        <v>80</v>
      </c>
      <c r="F36" s="37" t="s">
        <v>26</v>
      </c>
      <c r="G36" s="38">
        <f>VLOOKUP(B36,'MEMORIA DE CALCULO'!B:K,10,0)</f>
        <v>10.14</v>
      </c>
      <c r="H36" s="38">
        <v>13.31</v>
      </c>
      <c r="I36" s="38">
        <f t="shared" si="0"/>
        <v>17.07</v>
      </c>
      <c r="J36" s="38">
        <f t="shared" ref="J36:J37" si="9">ROUND(G36*I36,2)</f>
        <v>173.09</v>
      </c>
    </row>
    <row r="37" spans="2:10" ht="18" customHeight="1">
      <c r="B37" s="90" t="s">
        <v>571</v>
      </c>
      <c r="C37" s="37">
        <v>10264</v>
      </c>
      <c r="D37" s="90" t="s">
        <v>579</v>
      </c>
      <c r="E37" s="37" t="s">
        <v>80</v>
      </c>
      <c r="F37" s="93" t="s">
        <v>26</v>
      </c>
      <c r="G37" s="38">
        <f>VLOOKUP(B37,'MEMORIA DE CALCULO'!B:K,10,0)</f>
        <v>911.46</v>
      </c>
      <c r="H37" s="38">
        <v>24.96</v>
      </c>
      <c r="I37" s="38">
        <f t="shared" si="0"/>
        <v>32.01</v>
      </c>
      <c r="J37" s="38">
        <f t="shared" si="9"/>
        <v>29175.83</v>
      </c>
    </row>
    <row r="38" spans="2:10" ht="18" customHeight="1">
      <c r="B38" s="90" t="s">
        <v>572</v>
      </c>
      <c r="C38" s="93">
        <v>10234</v>
      </c>
      <c r="D38" s="90" t="s">
        <v>580</v>
      </c>
      <c r="E38" s="37" t="s">
        <v>80</v>
      </c>
      <c r="F38" s="93" t="s">
        <v>26</v>
      </c>
      <c r="G38" s="38">
        <f>VLOOKUP(B38,'MEMORIA DE CALCULO'!B:K,10,0)</f>
        <v>443.28</v>
      </c>
      <c r="H38" s="38">
        <v>23.38</v>
      </c>
      <c r="I38" s="38">
        <f t="shared" si="0"/>
        <v>29.98</v>
      </c>
      <c r="J38" s="38">
        <f t="shared" ref="J38:J39" si="10">ROUND(G38*I38,2)</f>
        <v>13289.53</v>
      </c>
    </row>
    <row r="39" spans="2:10" ht="18" customHeight="1">
      <c r="B39" s="90" t="s">
        <v>573</v>
      </c>
      <c r="C39" s="37">
        <v>10256</v>
      </c>
      <c r="D39" s="90" t="s">
        <v>581</v>
      </c>
      <c r="E39" s="37" t="s">
        <v>80</v>
      </c>
      <c r="F39" s="93" t="s">
        <v>26</v>
      </c>
      <c r="G39" s="38">
        <f>VLOOKUP(B39,'MEMORIA DE CALCULO'!B:K,10,0)</f>
        <v>1258.1500000000001</v>
      </c>
      <c r="H39" s="38">
        <v>6.86</v>
      </c>
      <c r="I39" s="38">
        <f t="shared" si="0"/>
        <v>8.8000000000000007</v>
      </c>
      <c r="J39" s="38">
        <f t="shared" si="10"/>
        <v>11071.72</v>
      </c>
    </row>
    <row r="40" spans="2:10" ht="18" customHeight="1">
      <c r="B40" s="90" t="s">
        <v>574</v>
      </c>
      <c r="C40" s="93">
        <v>10326</v>
      </c>
      <c r="D40" s="90" t="s">
        <v>582</v>
      </c>
      <c r="E40" s="37" t="s">
        <v>80</v>
      </c>
      <c r="F40" s="93" t="s">
        <v>26</v>
      </c>
      <c r="G40" s="38">
        <f>VLOOKUP(B40,'MEMORIA DE CALCULO'!B:K,10,0)</f>
        <v>1258.1500000000001</v>
      </c>
      <c r="H40" s="38">
        <v>26.19</v>
      </c>
      <c r="I40" s="38">
        <f t="shared" si="0"/>
        <v>33.590000000000003</v>
      </c>
      <c r="J40" s="38">
        <f t="shared" ref="J40:J41" si="11">ROUND(G40*I40,2)</f>
        <v>42261.26</v>
      </c>
    </row>
    <row r="41" spans="2:10" ht="18" customHeight="1">
      <c r="B41" s="90" t="s">
        <v>575</v>
      </c>
      <c r="C41" s="37">
        <v>10224</v>
      </c>
      <c r="D41" s="90" t="s">
        <v>586</v>
      </c>
      <c r="E41" s="37" t="s">
        <v>80</v>
      </c>
      <c r="F41" s="93" t="s">
        <v>26</v>
      </c>
      <c r="G41" s="38">
        <f>VLOOKUP(B41,'MEMORIA DE CALCULO'!B:K,10,0)</f>
        <v>15.27</v>
      </c>
      <c r="H41" s="38">
        <v>15.85</v>
      </c>
      <c r="I41" s="38">
        <f t="shared" si="0"/>
        <v>20.329999999999998</v>
      </c>
      <c r="J41" s="38">
        <f t="shared" si="11"/>
        <v>310.44</v>
      </c>
    </row>
    <row r="42" spans="2:10" ht="18" customHeight="1">
      <c r="B42" s="90" t="s">
        <v>583</v>
      </c>
      <c r="C42" s="37">
        <v>10214</v>
      </c>
      <c r="D42" s="90" t="s">
        <v>587</v>
      </c>
      <c r="E42" s="37" t="s">
        <v>80</v>
      </c>
      <c r="F42" s="93" t="s">
        <v>26</v>
      </c>
      <c r="G42" s="38">
        <f>VLOOKUP(B42,'MEMORIA DE CALCULO'!B:K,10,0)</f>
        <v>199.99</v>
      </c>
      <c r="H42" s="38">
        <v>14.39</v>
      </c>
      <c r="I42" s="38">
        <f t="shared" si="0"/>
        <v>18.45</v>
      </c>
      <c r="J42" s="38">
        <f t="shared" ref="J42:J43" si="12">ROUND(G42*I42,2)</f>
        <v>3689.82</v>
      </c>
    </row>
    <row r="43" spans="2:10" ht="18" customHeight="1">
      <c r="B43" s="90" t="s">
        <v>584</v>
      </c>
      <c r="C43" s="37">
        <v>10223</v>
      </c>
      <c r="D43" s="90" t="s">
        <v>588</v>
      </c>
      <c r="E43" s="37" t="s">
        <v>80</v>
      </c>
      <c r="F43" s="93" t="s">
        <v>77</v>
      </c>
      <c r="G43" s="38">
        <f>VLOOKUP(B43,'MEMORIA DE CALCULO'!B:K,10,0)</f>
        <v>21</v>
      </c>
      <c r="H43" s="38">
        <v>18.600000000000001</v>
      </c>
      <c r="I43" s="38">
        <f t="shared" si="0"/>
        <v>23.85</v>
      </c>
      <c r="J43" s="38">
        <f t="shared" si="12"/>
        <v>500.85</v>
      </c>
    </row>
    <row r="44" spans="2:10" ht="18" customHeight="1">
      <c r="B44" s="90" t="s">
        <v>585</v>
      </c>
      <c r="C44" s="37">
        <v>10225</v>
      </c>
      <c r="D44" s="90" t="s">
        <v>589</v>
      </c>
      <c r="E44" s="37" t="s">
        <v>80</v>
      </c>
      <c r="F44" s="93" t="s">
        <v>26</v>
      </c>
      <c r="G44" s="38">
        <f>VLOOKUP(B44,'MEMORIA DE CALCULO'!B:K,10,0)</f>
        <v>2.9</v>
      </c>
      <c r="H44" s="38">
        <v>22.32</v>
      </c>
      <c r="I44" s="38">
        <f t="shared" si="0"/>
        <v>28.62</v>
      </c>
      <c r="J44" s="38">
        <f t="shared" ref="J44" si="13">ROUND(G44*I44,2)</f>
        <v>83</v>
      </c>
    </row>
    <row r="45" spans="2:10" s="126" customFormat="1" ht="12.75" customHeight="1">
      <c r="B45" s="132">
        <v>2</v>
      </c>
      <c r="C45" s="314" t="s">
        <v>201</v>
      </c>
      <c r="D45" s="315"/>
      <c r="E45" s="128"/>
      <c r="F45" s="129"/>
      <c r="G45" s="129"/>
      <c r="H45" s="129"/>
      <c r="I45" s="131"/>
      <c r="J45" s="125">
        <f>SUM(J46:J48)</f>
        <v>28429.22</v>
      </c>
    </row>
    <row r="46" spans="2:10" ht="25.5">
      <c r="B46" s="90" t="s">
        <v>502</v>
      </c>
      <c r="C46" s="159">
        <v>30210</v>
      </c>
      <c r="D46" s="160" t="s">
        <v>204</v>
      </c>
      <c r="E46" s="37" t="s">
        <v>80</v>
      </c>
      <c r="F46" s="159" t="s">
        <v>95</v>
      </c>
      <c r="G46" s="38">
        <f>VLOOKUP(B46,'MEMORIA DE CALCULO'!B:K,10,0)</f>
        <v>20</v>
      </c>
      <c r="H46" s="158">
        <v>27.59</v>
      </c>
      <c r="I46" s="38">
        <f t="shared" si="0"/>
        <v>35.380000000000003</v>
      </c>
      <c r="J46" s="38">
        <f t="shared" ref="J46:J47" si="14">ROUND(G46*I46,2)</f>
        <v>707.6</v>
      </c>
    </row>
    <row r="47" spans="2:10" ht="25.5">
      <c r="B47" s="90" t="s">
        <v>554</v>
      </c>
      <c r="C47" s="159">
        <v>30101</v>
      </c>
      <c r="D47" s="160" t="s">
        <v>552</v>
      </c>
      <c r="E47" s="37" t="s">
        <v>80</v>
      </c>
      <c r="F47" s="159" t="s">
        <v>95</v>
      </c>
      <c r="G47" s="38">
        <f>VLOOKUP(B47,'MEMORIA DE CALCULO'!B:K,10,0)</f>
        <v>233.23</v>
      </c>
      <c r="H47" s="158">
        <v>51.51</v>
      </c>
      <c r="I47" s="38">
        <f t="shared" si="0"/>
        <v>66.05</v>
      </c>
      <c r="J47" s="38">
        <f t="shared" si="14"/>
        <v>15404.84</v>
      </c>
    </row>
    <row r="48" spans="2:10">
      <c r="B48" s="90" t="s">
        <v>555</v>
      </c>
      <c r="C48" s="159">
        <v>30201</v>
      </c>
      <c r="D48" s="160" t="s">
        <v>553</v>
      </c>
      <c r="E48" s="37" t="s">
        <v>80</v>
      </c>
      <c r="F48" s="159" t="s">
        <v>95</v>
      </c>
      <c r="G48" s="38">
        <f>VLOOKUP(B48,'MEMORIA DE CALCULO'!B:K,10,0)</f>
        <v>173.11</v>
      </c>
      <c r="H48" s="158">
        <v>55.48</v>
      </c>
      <c r="I48" s="38">
        <f t="shared" si="0"/>
        <v>71.150000000000006</v>
      </c>
      <c r="J48" s="38">
        <f t="shared" ref="J48" si="15">ROUND(G48*I48,2)</f>
        <v>12316.78</v>
      </c>
    </row>
    <row r="49" spans="2:12" s="126" customFormat="1" ht="12.75" customHeight="1">
      <c r="B49" s="124">
        <v>3</v>
      </c>
      <c r="C49" s="314" t="s">
        <v>229</v>
      </c>
      <c r="D49" s="315"/>
      <c r="E49" s="128"/>
      <c r="F49" s="129"/>
      <c r="G49" s="129"/>
      <c r="H49" s="129"/>
      <c r="I49" s="131"/>
      <c r="J49" s="125">
        <f>SUM(J50:J53)</f>
        <v>106357.48000000001</v>
      </c>
    </row>
    <row r="50" spans="2:12" ht="25.5">
      <c r="B50" s="90" t="s">
        <v>117</v>
      </c>
      <c r="C50" s="93">
        <v>40243</v>
      </c>
      <c r="D50" s="90" t="s">
        <v>230</v>
      </c>
      <c r="E50" s="37" t="s">
        <v>80</v>
      </c>
      <c r="F50" s="37" t="s">
        <v>23</v>
      </c>
      <c r="G50" s="38">
        <f>VLOOKUP(B50,'MEMORIA DE CALCULO'!B:K,10,0)</f>
        <v>1330.4</v>
      </c>
      <c r="H50" s="38">
        <v>11.08</v>
      </c>
      <c r="I50" s="38">
        <f>ROUND($H50*(1+$G$14),2)</f>
        <v>14.21</v>
      </c>
      <c r="J50" s="38">
        <f>ROUND(G50*I50,2)</f>
        <v>18904.98</v>
      </c>
    </row>
    <row r="51" spans="2:12" ht="25.5">
      <c r="B51" s="90" t="s">
        <v>118</v>
      </c>
      <c r="C51" s="93">
        <v>40246</v>
      </c>
      <c r="D51" s="90" t="s">
        <v>231</v>
      </c>
      <c r="E51" s="37" t="s">
        <v>80</v>
      </c>
      <c r="F51" s="37" t="s">
        <v>23</v>
      </c>
      <c r="G51" s="38">
        <f>VLOOKUP(B51,'MEMORIA DE CALCULO'!B:K,10,0)</f>
        <v>1085.4000000000001</v>
      </c>
      <c r="H51" s="38">
        <v>11.71</v>
      </c>
      <c r="I51" s="38">
        <f t="shared" ref="I51:I53" si="16">ROUND($H51*(1+$G$14),2)</f>
        <v>15.02</v>
      </c>
      <c r="J51" s="38">
        <f>ROUND(G51*I51,2)</f>
        <v>16302.71</v>
      </c>
    </row>
    <row r="52" spans="2:12" ht="38.25">
      <c r="B52" s="90" t="s">
        <v>202</v>
      </c>
      <c r="C52" s="93">
        <v>40250</v>
      </c>
      <c r="D52" s="90" t="s">
        <v>159</v>
      </c>
      <c r="E52" s="37" t="s">
        <v>80</v>
      </c>
      <c r="F52" s="37" t="s">
        <v>26</v>
      </c>
      <c r="G52" s="38">
        <f>VLOOKUP(B52,'MEMORIA DE CALCULO'!B:K,10,0)</f>
        <v>115.5</v>
      </c>
      <c r="H52" s="38">
        <v>95.36</v>
      </c>
      <c r="I52" s="38">
        <f t="shared" si="16"/>
        <v>122.29</v>
      </c>
      <c r="J52" s="38">
        <f>ROUND(G52*I52,2)</f>
        <v>14124.5</v>
      </c>
    </row>
    <row r="53" spans="2:12" ht="38.25">
      <c r="B53" s="90" t="s">
        <v>203</v>
      </c>
      <c r="C53" s="93">
        <v>40253</v>
      </c>
      <c r="D53" s="90" t="s">
        <v>111</v>
      </c>
      <c r="E53" s="37" t="s">
        <v>80</v>
      </c>
      <c r="F53" s="37" t="s">
        <v>95</v>
      </c>
      <c r="G53" s="38">
        <f>VLOOKUP(B53,'MEMORIA DE CALCULO'!B:K,10,0)</f>
        <v>64.7</v>
      </c>
      <c r="H53" s="38">
        <v>687.31</v>
      </c>
      <c r="I53" s="38">
        <f t="shared" si="16"/>
        <v>881.38</v>
      </c>
      <c r="J53" s="38">
        <f>ROUND(G53*I53,2)</f>
        <v>57025.29</v>
      </c>
    </row>
    <row r="54" spans="2:12" s="126" customFormat="1" ht="12.75" customHeight="1">
      <c r="B54" s="124">
        <v>4</v>
      </c>
      <c r="C54" s="314" t="s">
        <v>232</v>
      </c>
      <c r="D54" s="315"/>
      <c r="E54" s="133"/>
      <c r="F54" s="129"/>
      <c r="G54" s="129"/>
      <c r="H54" s="129"/>
      <c r="I54" s="131"/>
      <c r="J54" s="125">
        <f>SUM(J55:J58)</f>
        <v>440128.39</v>
      </c>
    </row>
    <row r="55" spans="2:12" ht="25.5">
      <c r="B55" s="90" t="s">
        <v>119</v>
      </c>
      <c r="C55" s="93">
        <v>40243</v>
      </c>
      <c r="D55" s="90" t="s">
        <v>230</v>
      </c>
      <c r="E55" s="37" t="s">
        <v>80</v>
      </c>
      <c r="F55" s="37" t="s">
        <v>23</v>
      </c>
      <c r="G55" s="38">
        <f>VLOOKUP(B55,'MEMORIA DE CALCULO'!B:K,10,0)</f>
        <v>7913.4</v>
      </c>
      <c r="H55" s="38">
        <v>11.08</v>
      </c>
      <c r="I55" s="38">
        <f t="shared" ref="I55:I93" si="17">ROUND($H55*(1+$G$14),2)</f>
        <v>14.21</v>
      </c>
      <c r="J55" s="38">
        <f t="shared" ref="J55:J58" si="18">ROUND(G55*I55,2)</f>
        <v>112449.41</v>
      </c>
    </row>
    <row r="56" spans="2:12" ht="25.5">
      <c r="B56" s="90" t="s">
        <v>120</v>
      </c>
      <c r="C56" s="93">
        <v>40246</v>
      </c>
      <c r="D56" s="90" t="s">
        <v>231</v>
      </c>
      <c r="E56" s="37" t="s">
        <v>80</v>
      </c>
      <c r="F56" s="37" t="s">
        <v>23</v>
      </c>
      <c r="G56" s="38">
        <f>VLOOKUP(B56,'MEMORIA DE CALCULO'!B:K,10,0)</f>
        <v>4394.1000000000004</v>
      </c>
      <c r="H56" s="38">
        <v>11.71</v>
      </c>
      <c r="I56" s="38">
        <f t="shared" si="17"/>
        <v>15.02</v>
      </c>
      <c r="J56" s="38">
        <f t="shared" si="18"/>
        <v>65999.38</v>
      </c>
    </row>
    <row r="57" spans="2:12" ht="38.25">
      <c r="B57" s="90" t="s">
        <v>181</v>
      </c>
      <c r="C57" s="93">
        <v>40250</v>
      </c>
      <c r="D57" s="90" t="s">
        <v>159</v>
      </c>
      <c r="E57" s="37" t="s">
        <v>80</v>
      </c>
      <c r="F57" s="37" t="s">
        <v>26</v>
      </c>
      <c r="G57" s="38">
        <f>VLOOKUP(B57,'MEMORIA DE CALCULO'!B:K,10,0)</f>
        <v>689</v>
      </c>
      <c r="H57" s="38">
        <v>95.36</v>
      </c>
      <c r="I57" s="38">
        <f t="shared" si="17"/>
        <v>122.29</v>
      </c>
      <c r="J57" s="38">
        <f t="shared" si="18"/>
        <v>84257.81</v>
      </c>
    </row>
    <row r="58" spans="2:12" ht="38.25">
      <c r="B58" s="90" t="s">
        <v>182</v>
      </c>
      <c r="C58" s="93">
        <v>40253</v>
      </c>
      <c r="D58" s="90" t="s">
        <v>111</v>
      </c>
      <c r="E58" s="37" t="s">
        <v>80</v>
      </c>
      <c r="F58" s="37" t="s">
        <v>95</v>
      </c>
      <c r="G58" s="38">
        <f>VLOOKUP(B58,'MEMORIA DE CALCULO'!B:K,10,0)</f>
        <v>201.3</v>
      </c>
      <c r="H58" s="38">
        <v>687.31</v>
      </c>
      <c r="I58" s="38">
        <f t="shared" si="17"/>
        <v>881.38</v>
      </c>
      <c r="J58" s="38">
        <f t="shared" si="18"/>
        <v>177421.79</v>
      </c>
    </row>
    <row r="59" spans="2:12" s="126" customFormat="1" ht="12.75" customHeight="1">
      <c r="B59" s="124">
        <v>5</v>
      </c>
      <c r="C59" s="314" t="s">
        <v>100</v>
      </c>
      <c r="D59" s="315"/>
      <c r="E59" s="133"/>
      <c r="F59" s="129"/>
      <c r="G59" s="129"/>
      <c r="H59" s="129"/>
      <c r="I59" s="131"/>
      <c r="J59" s="125">
        <f>SUM(J60:J62)</f>
        <v>124405.76999999999</v>
      </c>
    </row>
    <row r="60" spans="2:12" ht="51">
      <c r="B60" s="90" t="s">
        <v>156</v>
      </c>
      <c r="C60" s="37">
        <v>103322</v>
      </c>
      <c r="D60" s="90" t="s">
        <v>233</v>
      </c>
      <c r="E60" s="37" t="s">
        <v>172</v>
      </c>
      <c r="F60" s="37" t="s">
        <v>26</v>
      </c>
      <c r="G60" s="38">
        <f>VLOOKUP(B60,'MEMORIA DE CALCULO'!B:K,10,0)</f>
        <v>1592.75</v>
      </c>
      <c r="H60" s="38">
        <v>46.21</v>
      </c>
      <c r="I60" s="38">
        <f t="shared" si="17"/>
        <v>59.26</v>
      </c>
      <c r="J60" s="38">
        <f t="shared" ref="J60:J62" si="19">ROUND(G60*I60,2)</f>
        <v>94386.37</v>
      </c>
      <c r="K60" s="176"/>
      <c r="L60" s="175"/>
    </row>
    <row r="61" spans="2:12" ht="51">
      <c r="B61" s="90" t="s">
        <v>121</v>
      </c>
      <c r="C61" s="37">
        <v>103326</v>
      </c>
      <c r="D61" s="90" t="s">
        <v>629</v>
      </c>
      <c r="E61" s="37" t="s">
        <v>172</v>
      </c>
      <c r="F61" s="37" t="s">
        <v>26</v>
      </c>
      <c r="G61" s="38">
        <f>VLOOKUP(B61,'MEMORIA DE CALCULO'!B:K,10,0)</f>
        <v>38.630000000000003</v>
      </c>
      <c r="H61" s="38">
        <v>75.22</v>
      </c>
      <c r="I61" s="38">
        <f t="shared" si="17"/>
        <v>96.46</v>
      </c>
      <c r="J61" s="38">
        <f t="shared" ref="J61" si="20">ROUND(G61*I61,2)</f>
        <v>3726.25</v>
      </c>
      <c r="K61" s="176"/>
      <c r="L61" s="175"/>
    </row>
    <row r="62" spans="2:12" ht="25.5">
      <c r="B62" s="90" t="s">
        <v>630</v>
      </c>
      <c r="C62" s="37">
        <v>50205</v>
      </c>
      <c r="D62" s="90" t="s">
        <v>234</v>
      </c>
      <c r="E62" s="37" t="s">
        <v>80</v>
      </c>
      <c r="F62" s="37" t="s">
        <v>26</v>
      </c>
      <c r="G62" s="38">
        <f>VLOOKUP(B62,'MEMORIA DE CALCULO'!B:K,10,0)</f>
        <v>46.86</v>
      </c>
      <c r="H62" s="38">
        <v>437.55</v>
      </c>
      <c r="I62" s="38">
        <f t="shared" si="17"/>
        <v>561.1</v>
      </c>
      <c r="J62" s="38">
        <f t="shared" si="19"/>
        <v>26293.15</v>
      </c>
      <c r="K62" s="176"/>
      <c r="L62" s="153"/>
    </row>
    <row r="63" spans="2:12" s="126" customFormat="1" ht="12.75" customHeight="1">
      <c r="B63" s="124">
        <v>6</v>
      </c>
      <c r="C63" s="314" t="s">
        <v>101</v>
      </c>
      <c r="D63" s="315"/>
      <c r="E63" s="133"/>
      <c r="F63" s="129"/>
      <c r="G63" s="129"/>
      <c r="H63" s="129"/>
      <c r="I63" s="131"/>
      <c r="J63" s="125">
        <f>J64+J71+J74+J77</f>
        <v>164150.94999999998</v>
      </c>
      <c r="L63" s="153"/>
    </row>
    <row r="64" spans="2:12">
      <c r="B64" s="161" t="s">
        <v>122</v>
      </c>
      <c r="C64" s="318" t="s">
        <v>84</v>
      </c>
      <c r="D64" s="320"/>
      <c r="E64" s="162"/>
      <c r="F64" s="163"/>
      <c r="G64" s="163"/>
      <c r="H64" s="164"/>
      <c r="I64" s="165"/>
      <c r="J64" s="166">
        <f>SUM(J65:J70)</f>
        <v>85417.18</v>
      </c>
    </row>
    <row r="65" spans="2:12" ht="63.75">
      <c r="B65" s="90" t="s">
        <v>239</v>
      </c>
      <c r="C65" s="37">
        <v>90843</v>
      </c>
      <c r="D65" s="90" t="s">
        <v>174</v>
      </c>
      <c r="E65" s="37" t="s">
        <v>172</v>
      </c>
      <c r="F65" s="37" t="s">
        <v>77</v>
      </c>
      <c r="G65" s="38">
        <f>VLOOKUP(B65,'MEMORIA DE CALCULO'!B:K,10,0)</f>
        <v>19</v>
      </c>
      <c r="H65" s="38">
        <v>945.38</v>
      </c>
      <c r="I65" s="38">
        <f t="shared" si="17"/>
        <v>1212.32</v>
      </c>
      <c r="J65" s="38">
        <f t="shared" ref="J65:J68" si="21">ROUND(G65*I65,2)</f>
        <v>23034.080000000002</v>
      </c>
      <c r="K65" s="176"/>
      <c r="L65" s="153"/>
    </row>
    <row r="66" spans="2:12" ht="51">
      <c r="B66" s="90" t="s">
        <v>240</v>
      </c>
      <c r="C66" s="37">
        <v>90796</v>
      </c>
      <c r="D66" s="90" t="s">
        <v>235</v>
      </c>
      <c r="E66" s="37" t="s">
        <v>172</v>
      </c>
      <c r="F66" s="37" t="s">
        <v>77</v>
      </c>
      <c r="G66" s="38">
        <f>VLOOKUP(B66,'MEMORIA DE CALCULO'!B:K,10,0)</f>
        <v>4</v>
      </c>
      <c r="H66" s="38">
        <v>649.29</v>
      </c>
      <c r="I66" s="38">
        <f t="shared" si="17"/>
        <v>832.62</v>
      </c>
      <c r="J66" s="38">
        <f t="shared" si="21"/>
        <v>3330.48</v>
      </c>
      <c r="K66" s="117"/>
      <c r="L66" s="153"/>
    </row>
    <row r="67" spans="2:12" ht="63.75">
      <c r="B67" s="90" t="s">
        <v>241</v>
      </c>
      <c r="C67" s="37">
        <v>61902</v>
      </c>
      <c r="D67" s="90" t="s">
        <v>236</v>
      </c>
      <c r="E67" s="37" t="s">
        <v>80</v>
      </c>
      <c r="F67" s="37" t="s">
        <v>77</v>
      </c>
      <c r="G67" s="38">
        <f>VLOOKUP(B67,'MEMORIA DE CALCULO'!B:K,10,0)</f>
        <v>15</v>
      </c>
      <c r="H67" s="38">
        <v>1449.81</v>
      </c>
      <c r="I67" s="38">
        <f t="shared" si="17"/>
        <v>1859.18</v>
      </c>
      <c r="J67" s="38">
        <f t="shared" si="21"/>
        <v>27887.7</v>
      </c>
      <c r="K67" s="176"/>
      <c r="L67" s="153"/>
    </row>
    <row r="68" spans="2:12" ht="51">
      <c r="B68" s="90" t="s">
        <v>242</v>
      </c>
      <c r="C68" s="37">
        <v>61403</v>
      </c>
      <c r="D68" s="90" t="s">
        <v>237</v>
      </c>
      <c r="E68" s="37" t="s">
        <v>80</v>
      </c>
      <c r="F68" s="37" t="s">
        <v>77</v>
      </c>
      <c r="G68" s="38">
        <f>VLOOKUP(B68,'MEMORIA DE CALCULO'!B:K,10,0)</f>
        <v>14</v>
      </c>
      <c r="H68" s="38">
        <v>982.7</v>
      </c>
      <c r="I68" s="38">
        <f t="shared" si="17"/>
        <v>1260.18</v>
      </c>
      <c r="J68" s="38">
        <f t="shared" si="21"/>
        <v>17642.52</v>
      </c>
      <c r="K68" s="176"/>
      <c r="L68" s="153"/>
    </row>
    <row r="69" spans="2:12" ht="38.25">
      <c r="B69" s="90" t="s">
        <v>724</v>
      </c>
      <c r="C69" s="37">
        <v>60103</v>
      </c>
      <c r="D69" s="90" t="s">
        <v>726</v>
      </c>
      <c r="E69" s="37" t="s">
        <v>80</v>
      </c>
      <c r="F69" s="37" t="s">
        <v>77</v>
      </c>
      <c r="G69" s="38">
        <f>VLOOKUP(B69,'MEMORIA DE CALCULO'!B:K,10,0)</f>
        <v>15</v>
      </c>
      <c r="H69" s="38">
        <v>418.9</v>
      </c>
      <c r="I69" s="38">
        <f t="shared" si="17"/>
        <v>537.17999999999995</v>
      </c>
      <c r="J69" s="38">
        <f t="shared" ref="J69:J70" si="22">ROUND(G69*I69,2)</f>
        <v>8057.7</v>
      </c>
      <c r="K69" s="176"/>
      <c r="L69" s="153"/>
    </row>
    <row r="70" spans="2:12" ht="25.5">
      <c r="B70" s="90" t="s">
        <v>725</v>
      </c>
      <c r="C70" s="37">
        <v>60110</v>
      </c>
      <c r="D70" s="90" t="s">
        <v>727</v>
      </c>
      <c r="E70" s="37" t="s">
        <v>80</v>
      </c>
      <c r="F70" s="37" t="s">
        <v>27</v>
      </c>
      <c r="G70" s="38">
        <f>VLOOKUP(B70,'MEMORIA DE CALCULO'!B:K,10,0)</f>
        <v>44.800000000000004</v>
      </c>
      <c r="H70" s="38">
        <v>95.12</v>
      </c>
      <c r="I70" s="38">
        <f t="shared" si="17"/>
        <v>121.98</v>
      </c>
      <c r="J70" s="38">
        <f t="shared" si="22"/>
        <v>5464.7</v>
      </c>
      <c r="K70" s="176"/>
      <c r="L70" s="153"/>
    </row>
    <row r="71" spans="2:12">
      <c r="B71" s="161" t="s">
        <v>216</v>
      </c>
      <c r="C71" s="318" t="s">
        <v>238</v>
      </c>
      <c r="D71" s="320"/>
      <c r="E71" s="162"/>
      <c r="F71" s="163"/>
      <c r="G71" s="163"/>
      <c r="H71" s="164"/>
      <c r="I71" s="165"/>
      <c r="J71" s="166">
        <f>SUM(J72:J73)</f>
        <v>6529.13</v>
      </c>
    </row>
    <row r="72" spans="2:12" ht="51">
      <c r="B72" s="90" t="s">
        <v>243</v>
      </c>
      <c r="C72" s="37">
        <v>94805</v>
      </c>
      <c r="D72" s="90" t="s">
        <v>245</v>
      </c>
      <c r="E72" s="37" t="s">
        <v>172</v>
      </c>
      <c r="F72" s="37" t="s">
        <v>77</v>
      </c>
      <c r="G72" s="38">
        <f>VLOOKUP(B72,'MEMORIA DE CALCULO'!B:K,10,0)</f>
        <v>3</v>
      </c>
      <c r="H72" s="38">
        <v>838.38</v>
      </c>
      <c r="I72" s="38">
        <f t="shared" si="17"/>
        <v>1075.1099999999999</v>
      </c>
      <c r="J72" s="38">
        <f t="shared" ref="J72:J73" si="23">ROUND(G72*I72,2)</f>
        <v>3225.33</v>
      </c>
      <c r="K72" s="176"/>
      <c r="L72" s="153"/>
    </row>
    <row r="73" spans="2:12" ht="38.25">
      <c r="B73" s="90" t="s">
        <v>244</v>
      </c>
      <c r="C73" s="37">
        <v>91338</v>
      </c>
      <c r="D73" s="90" t="s">
        <v>246</v>
      </c>
      <c r="E73" s="37" t="s">
        <v>172</v>
      </c>
      <c r="F73" s="37" t="s">
        <v>26</v>
      </c>
      <c r="G73" s="38">
        <f>VLOOKUP(B73,'MEMORIA DE CALCULO'!B:K,10,0)</f>
        <v>3.12</v>
      </c>
      <c r="H73" s="38">
        <v>825.75</v>
      </c>
      <c r="I73" s="38">
        <f t="shared" si="17"/>
        <v>1058.9100000000001</v>
      </c>
      <c r="J73" s="38">
        <f t="shared" si="23"/>
        <v>3303.8</v>
      </c>
      <c r="K73" s="117"/>
      <c r="L73" s="153"/>
    </row>
    <row r="74" spans="2:12">
      <c r="B74" s="161" t="s">
        <v>217</v>
      </c>
      <c r="C74" s="318" t="s">
        <v>248</v>
      </c>
      <c r="D74" s="320"/>
      <c r="E74" s="162"/>
      <c r="F74" s="163"/>
      <c r="G74" s="163"/>
      <c r="H74" s="164"/>
      <c r="I74" s="165"/>
      <c r="J74" s="166">
        <f>SUM(J75:J76)</f>
        <v>44500.4</v>
      </c>
    </row>
    <row r="75" spans="2:12" ht="51">
      <c r="B75" s="90" t="s">
        <v>247</v>
      </c>
      <c r="C75" s="37">
        <v>94570</v>
      </c>
      <c r="D75" s="90" t="s">
        <v>249</v>
      </c>
      <c r="E75" s="37" t="s">
        <v>172</v>
      </c>
      <c r="F75" s="37" t="s">
        <v>26</v>
      </c>
      <c r="G75" s="38">
        <f>VLOOKUP(B75,'MEMORIA DE CALCULO'!B:K,10,0)</f>
        <v>110.7</v>
      </c>
      <c r="H75" s="38">
        <v>308.27</v>
      </c>
      <c r="I75" s="38">
        <f t="shared" si="17"/>
        <v>395.31</v>
      </c>
      <c r="J75" s="38">
        <f t="shared" ref="J75:J76" si="24">ROUND(G75*I75,2)</f>
        <v>43760.82</v>
      </c>
      <c r="K75" s="176"/>
      <c r="L75" s="153"/>
    </row>
    <row r="76" spans="2:12" ht="38.25">
      <c r="B76" s="90" t="s">
        <v>251</v>
      </c>
      <c r="C76" s="37">
        <v>100674</v>
      </c>
      <c r="D76" s="90" t="s">
        <v>250</v>
      </c>
      <c r="E76" s="37" t="s">
        <v>172</v>
      </c>
      <c r="F76" s="37" t="s">
        <v>26</v>
      </c>
      <c r="G76" s="38">
        <f>VLOOKUP(B76,'MEMORIA DE CALCULO'!B:K,10,0)</f>
        <v>0.9</v>
      </c>
      <c r="H76" s="38">
        <v>640.82000000000005</v>
      </c>
      <c r="I76" s="38">
        <f t="shared" si="17"/>
        <v>821.76</v>
      </c>
      <c r="J76" s="38">
        <f t="shared" si="24"/>
        <v>739.58</v>
      </c>
      <c r="K76" s="117"/>
      <c r="L76" s="153"/>
    </row>
    <row r="77" spans="2:12">
      <c r="B77" s="161" t="s">
        <v>218</v>
      </c>
      <c r="C77" s="318" t="s">
        <v>253</v>
      </c>
      <c r="D77" s="320"/>
      <c r="E77" s="162"/>
      <c r="F77" s="163"/>
      <c r="G77" s="163"/>
      <c r="H77" s="164"/>
      <c r="I77" s="165"/>
      <c r="J77" s="166">
        <f>SUM(J78:J79)</f>
        <v>27704.239999999998</v>
      </c>
    </row>
    <row r="78" spans="2:12">
      <c r="B78" s="90" t="s">
        <v>252</v>
      </c>
      <c r="C78" s="37">
        <v>71104</v>
      </c>
      <c r="D78" s="90" t="s">
        <v>255</v>
      </c>
      <c r="E78" s="37" t="s">
        <v>80</v>
      </c>
      <c r="F78" s="37" t="s">
        <v>26</v>
      </c>
      <c r="G78" s="38">
        <f>VLOOKUP(B78,'MEMORIA DE CALCULO'!B:K,10,0)</f>
        <v>17.28</v>
      </c>
      <c r="H78" s="38">
        <v>593</v>
      </c>
      <c r="I78" s="38">
        <f t="shared" si="17"/>
        <v>760.44</v>
      </c>
      <c r="J78" s="38">
        <f t="shared" ref="J78" si="25">ROUND(G78*I78,2)</f>
        <v>13140.4</v>
      </c>
      <c r="K78" s="117"/>
      <c r="L78" s="153"/>
    </row>
    <row r="79" spans="2:12">
      <c r="B79" s="90" t="s">
        <v>254</v>
      </c>
      <c r="C79" s="37">
        <v>71105</v>
      </c>
      <c r="D79" s="90" t="s">
        <v>591</v>
      </c>
      <c r="E79" s="37" t="s">
        <v>80</v>
      </c>
      <c r="F79" s="37" t="s">
        <v>26</v>
      </c>
      <c r="G79" s="38">
        <f>VLOOKUP(B79,'MEMORIA DE CALCULO'!B:K,10,0)</f>
        <v>32</v>
      </c>
      <c r="H79" s="38">
        <v>354.91</v>
      </c>
      <c r="I79" s="38">
        <f t="shared" si="17"/>
        <v>455.12</v>
      </c>
      <c r="J79" s="38">
        <f t="shared" ref="J79" si="26">ROUND(G79*I79,2)</f>
        <v>14563.84</v>
      </c>
      <c r="K79" s="117"/>
      <c r="L79" s="153"/>
    </row>
    <row r="80" spans="2:12" s="126" customFormat="1" ht="12.75" customHeight="1">
      <c r="B80" s="124">
        <v>7</v>
      </c>
      <c r="C80" s="314" t="s">
        <v>102</v>
      </c>
      <c r="D80" s="315"/>
      <c r="E80" s="133"/>
      <c r="F80" s="129"/>
      <c r="G80" s="129"/>
      <c r="H80" s="129"/>
      <c r="I80" s="131"/>
      <c r="J80" s="125">
        <f>SUM(J81:J87)</f>
        <v>689376.67</v>
      </c>
    </row>
    <row r="81" spans="2:12" ht="51">
      <c r="B81" s="90" t="s">
        <v>123</v>
      </c>
      <c r="C81" s="37">
        <v>100775</v>
      </c>
      <c r="D81" s="90" t="s">
        <v>256</v>
      </c>
      <c r="E81" s="37" t="s">
        <v>172</v>
      </c>
      <c r="F81" s="37" t="s">
        <v>23</v>
      </c>
      <c r="G81" s="38">
        <f>VLOOKUP(B81,'MEMORIA DE CALCULO'!B:K,10,0)</f>
        <v>7805.7</v>
      </c>
      <c r="H81" s="38">
        <v>16.68</v>
      </c>
      <c r="I81" s="38">
        <f t="shared" si="17"/>
        <v>21.39</v>
      </c>
      <c r="J81" s="38">
        <f t="shared" ref="J81:J84" si="27">ROUND(G81*I81,2)</f>
        <v>166963.92000000001</v>
      </c>
      <c r="K81" s="176"/>
      <c r="L81" s="175"/>
    </row>
    <row r="82" spans="2:12" ht="51">
      <c r="B82" s="90" t="s">
        <v>183</v>
      </c>
      <c r="C82" s="37">
        <v>90102</v>
      </c>
      <c r="D82" s="90" t="s">
        <v>597</v>
      </c>
      <c r="E82" s="37" t="s">
        <v>80</v>
      </c>
      <c r="F82" s="37" t="s">
        <v>26</v>
      </c>
      <c r="G82" s="38">
        <f>VLOOKUP(B82,'MEMORIA DE CALCULO'!B:K,10,0)</f>
        <v>1417.63</v>
      </c>
      <c r="H82" s="38">
        <v>108.24</v>
      </c>
      <c r="I82" s="38">
        <f t="shared" si="17"/>
        <v>138.80000000000001</v>
      </c>
      <c r="J82" s="38">
        <f t="shared" ref="J82" si="28">ROUND(G82*I82,2)</f>
        <v>196767.04</v>
      </c>
      <c r="K82" s="176"/>
      <c r="L82" s="153"/>
    </row>
    <row r="83" spans="2:12" ht="25.5">
      <c r="B83" s="90" t="s">
        <v>505</v>
      </c>
      <c r="C83" s="37">
        <v>90206</v>
      </c>
      <c r="D83" s="90" t="s">
        <v>258</v>
      </c>
      <c r="E83" s="37" t="s">
        <v>80</v>
      </c>
      <c r="F83" s="37" t="s">
        <v>26</v>
      </c>
      <c r="G83" s="38">
        <f>VLOOKUP(B83,'MEMORIA DE CALCULO'!B:K,10,0)</f>
        <v>297.89</v>
      </c>
      <c r="H83" s="38">
        <v>98.47</v>
      </c>
      <c r="I83" s="38">
        <f t="shared" si="17"/>
        <v>126.27</v>
      </c>
      <c r="J83" s="38">
        <f t="shared" si="27"/>
        <v>37614.57</v>
      </c>
      <c r="K83" s="176"/>
      <c r="L83" s="153"/>
    </row>
    <row r="84" spans="2:12" ht="25.5">
      <c r="B84" s="90" t="s">
        <v>594</v>
      </c>
      <c r="C84" s="37">
        <v>90203</v>
      </c>
      <c r="D84" s="90" t="s">
        <v>598</v>
      </c>
      <c r="E84" s="37" t="s">
        <v>80</v>
      </c>
      <c r="F84" s="37" t="s">
        <v>26</v>
      </c>
      <c r="G84" s="38">
        <f>VLOOKUP(B84,'MEMORIA DE CALCULO'!B:K,10,0)</f>
        <v>1417.63</v>
      </c>
      <c r="H84" s="38">
        <v>87.4</v>
      </c>
      <c r="I84" s="38">
        <f t="shared" si="17"/>
        <v>112.08</v>
      </c>
      <c r="J84" s="38">
        <f t="shared" si="27"/>
        <v>158887.97</v>
      </c>
      <c r="K84" s="176"/>
      <c r="L84" s="153"/>
    </row>
    <row r="85" spans="2:12">
      <c r="B85" s="90" t="s">
        <v>595</v>
      </c>
      <c r="C85" s="37">
        <v>90312</v>
      </c>
      <c r="D85" s="90" t="s">
        <v>257</v>
      </c>
      <c r="E85" s="37" t="s">
        <v>80</v>
      </c>
      <c r="F85" s="37" t="s">
        <v>27</v>
      </c>
      <c r="G85" s="38">
        <f>VLOOKUP(B85,'MEMORIA DE CALCULO'!B:K,10,0)</f>
        <v>272.7</v>
      </c>
      <c r="H85" s="38">
        <v>203.8</v>
      </c>
      <c r="I85" s="38">
        <f t="shared" si="17"/>
        <v>261.35000000000002</v>
      </c>
      <c r="J85" s="38">
        <f t="shared" ref="J85:J86" si="29">ROUND(G85*I85,2)</f>
        <v>71270.149999999994</v>
      </c>
      <c r="K85" s="176"/>
      <c r="L85" s="153"/>
    </row>
    <row r="86" spans="2:12">
      <c r="B86" s="90" t="s">
        <v>596</v>
      </c>
      <c r="C86" s="37">
        <v>90314</v>
      </c>
      <c r="D86" s="90" t="s">
        <v>599</v>
      </c>
      <c r="E86" s="37" t="s">
        <v>80</v>
      </c>
      <c r="F86" s="37" t="s">
        <v>27</v>
      </c>
      <c r="G86" s="38">
        <f>VLOOKUP(B86,'MEMORIA DE CALCULO'!B:K,10,0)</f>
        <v>297.64</v>
      </c>
      <c r="H86" s="38">
        <v>54.47</v>
      </c>
      <c r="I86" s="38">
        <f t="shared" si="17"/>
        <v>69.849999999999994</v>
      </c>
      <c r="J86" s="38">
        <f t="shared" si="29"/>
        <v>20790.150000000001</v>
      </c>
      <c r="K86" s="176"/>
      <c r="L86" s="153"/>
    </row>
    <row r="87" spans="2:12" ht="25.5">
      <c r="B87" s="90" t="s">
        <v>631</v>
      </c>
      <c r="C87" s="37">
        <v>101979</v>
      </c>
      <c r="D87" s="90" t="s">
        <v>632</v>
      </c>
      <c r="E87" s="37" t="s">
        <v>172</v>
      </c>
      <c r="F87" s="37" t="s">
        <v>27</v>
      </c>
      <c r="G87" s="38">
        <f>VLOOKUP(B87,'MEMORIA DE CALCULO'!B:K,10,0)</f>
        <v>490.19</v>
      </c>
      <c r="H87" s="38">
        <v>58.99</v>
      </c>
      <c r="I87" s="38">
        <f t="shared" si="17"/>
        <v>75.650000000000006</v>
      </c>
      <c r="J87" s="38">
        <f t="shared" ref="J87" si="30">ROUND(G87*I87,2)</f>
        <v>37082.870000000003</v>
      </c>
      <c r="K87" s="176"/>
      <c r="L87" s="153"/>
    </row>
    <row r="88" spans="2:12" s="126" customFormat="1" ht="12.75" customHeight="1">
      <c r="B88" s="124">
        <v>8</v>
      </c>
      <c r="C88" s="314" t="s">
        <v>24</v>
      </c>
      <c r="D88" s="315"/>
      <c r="E88" s="133"/>
      <c r="F88" s="129"/>
      <c r="G88" s="129"/>
      <c r="H88" s="129"/>
      <c r="I88" s="131"/>
      <c r="J88" s="125">
        <f>SUM(J89:J94)</f>
        <v>548273.44999999995</v>
      </c>
    </row>
    <row r="89" spans="2:12" ht="25.5">
      <c r="B89" s="90" t="s">
        <v>219</v>
      </c>
      <c r="C89" s="37">
        <v>120101</v>
      </c>
      <c r="D89" s="90" t="s">
        <v>259</v>
      </c>
      <c r="E89" s="37" t="s">
        <v>80</v>
      </c>
      <c r="F89" s="37" t="s">
        <v>26</v>
      </c>
      <c r="G89" s="38">
        <f>VLOOKUP(B89,'MEMORIA DE CALCULO'!B:K,10,0)</f>
        <v>5032.87</v>
      </c>
      <c r="H89" s="38">
        <v>6.86</v>
      </c>
      <c r="I89" s="38">
        <f t="shared" si="17"/>
        <v>8.8000000000000007</v>
      </c>
      <c r="J89" s="38">
        <f t="shared" ref="J89:J92" si="31">ROUND(G89*I89,2)</f>
        <v>44289.26</v>
      </c>
      <c r="K89" s="176"/>
      <c r="L89" s="175"/>
    </row>
    <row r="90" spans="2:12" ht="25.5">
      <c r="B90" s="90" t="s">
        <v>124</v>
      </c>
      <c r="C90" s="37">
        <v>120301</v>
      </c>
      <c r="D90" s="90" t="s">
        <v>94</v>
      </c>
      <c r="E90" s="37" t="s">
        <v>80</v>
      </c>
      <c r="F90" s="37" t="s">
        <v>26</v>
      </c>
      <c r="G90" s="38">
        <f>VLOOKUP(B90,'MEMORIA DE CALCULO'!B:K,10,0)</f>
        <v>1308.99</v>
      </c>
      <c r="H90" s="38">
        <v>32.51</v>
      </c>
      <c r="I90" s="38">
        <f t="shared" si="17"/>
        <v>41.69</v>
      </c>
      <c r="J90" s="38">
        <f t="shared" si="31"/>
        <v>54571.79</v>
      </c>
      <c r="K90" s="176"/>
      <c r="L90" s="153"/>
    </row>
    <row r="91" spans="2:12" ht="25.5">
      <c r="B91" s="90" t="s">
        <v>184</v>
      </c>
      <c r="C91" s="37">
        <v>120303</v>
      </c>
      <c r="D91" s="90" t="s">
        <v>93</v>
      </c>
      <c r="E91" s="37" t="s">
        <v>80</v>
      </c>
      <c r="F91" s="37" t="s">
        <v>26</v>
      </c>
      <c r="G91" s="38">
        <f>VLOOKUP(B91,'MEMORIA DE CALCULO'!B:K,10,0)</f>
        <v>3723.88</v>
      </c>
      <c r="H91" s="38">
        <v>55.01</v>
      </c>
      <c r="I91" s="38">
        <f t="shared" si="17"/>
        <v>70.540000000000006</v>
      </c>
      <c r="J91" s="38">
        <f t="shared" ref="J91" si="32">ROUND(G91*I91,2)</f>
        <v>262682.5</v>
      </c>
      <c r="K91" s="176"/>
      <c r="L91" s="153"/>
    </row>
    <row r="92" spans="2:12" ht="38.25">
      <c r="B92" s="90" t="s">
        <v>220</v>
      </c>
      <c r="C92" s="37">
        <v>120220</v>
      </c>
      <c r="D92" s="90" t="s">
        <v>489</v>
      </c>
      <c r="E92" s="37" t="s">
        <v>80</v>
      </c>
      <c r="F92" s="37" t="s">
        <v>26</v>
      </c>
      <c r="G92" s="38">
        <f>VLOOKUP(B92,'MEMORIA DE CALCULO'!B:K,10,0)</f>
        <v>787.87</v>
      </c>
      <c r="H92" s="38">
        <v>86.9</v>
      </c>
      <c r="I92" s="38">
        <f t="shared" si="17"/>
        <v>111.44</v>
      </c>
      <c r="J92" s="38">
        <f t="shared" si="31"/>
        <v>87800.23</v>
      </c>
      <c r="K92" s="176"/>
      <c r="L92" s="153"/>
    </row>
    <row r="93" spans="2:12" ht="51">
      <c r="B93" s="90" t="s">
        <v>221</v>
      </c>
      <c r="C93" s="37">
        <v>87273</v>
      </c>
      <c r="D93" s="90" t="s">
        <v>260</v>
      </c>
      <c r="E93" s="37" t="s">
        <v>172</v>
      </c>
      <c r="F93" s="37" t="s">
        <v>26</v>
      </c>
      <c r="G93" s="38">
        <f>VLOOKUP(B93,'MEMORIA DE CALCULO'!B:K,10,0)</f>
        <v>521.12</v>
      </c>
      <c r="H93" s="38">
        <v>68.459999999999994</v>
      </c>
      <c r="I93" s="38">
        <f t="shared" si="17"/>
        <v>87.79</v>
      </c>
      <c r="J93" s="38">
        <f t="shared" ref="J93" si="33">ROUND(G93*I93,2)</f>
        <v>45749.120000000003</v>
      </c>
      <c r="K93" s="176"/>
      <c r="L93" s="153"/>
    </row>
    <row r="94" spans="2:12">
      <c r="B94" s="90" t="s">
        <v>341</v>
      </c>
      <c r="C94" s="37">
        <v>110201</v>
      </c>
      <c r="D94" s="90" t="s">
        <v>261</v>
      </c>
      <c r="E94" s="37" t="s">
        <v>80</v>
      </c>
      <c r="F94" s="37" t="s">
        <v>26</v>
      </c>
      <c r="G94" s="38">
        <f>VLOOKUP(B94,'MEMORIA DE CALCULO'!B:K,10,0)</f>
        <v>911.25</v>
      </c>
      <c r="H94" s="38">
        <v>50.5</v>
      </c>
      <c r="I94" s="38">
        <f>ROUND($H94*(1+$H$14),2)</f>
        <v>58.36</v>
      </c>
      <c r="J94" s="38">
        <f t="shared" ref="J94" si="34">ROUND(G94*I94,2)</f>
        <v>53180.55</v>
      </c>
      <c r="K94" s="176"/>
      <c r="L94" s="153"/>
    </row>
    <row r="95" spans="2:12" s="126" customFormat="1" ht="12.75" customHeight="1">
      <c r="B95" s="124">
        <v>9</v>
      </c>
      <c r="C95" s="314" t="s">
        <v>262</v>
      </c>
      <c r="D95" s="315"/>
      <c r="E95" s="133"/>
      <c r="F95" s="129"/>
      <c r="G95" s="129"/>
      <c r="H95" s="129"/>
      <c r="I95" s="131"/>
      <c r="J95" s="125">
        <f>J96+J105</f>
        <v>536321.1</v>
      </c>
      <c r="L95" s="153"/>
    </row>
    <row r="96" spans="2:12">
      <c r="B96" s="161" t="s">
        <v>125</v>
      </c>
      <c r="C96" s="318" t="s">
        <v>25</v>
      </c>
      <c r="D96" s="320"/>
      <c r="E96" s="162"/>
      <c r="F96" s="163"/>
      <c r="G96" s="163"/>
      <c r="H96" s="164"/>
      <c r="I96" s="165"/>
      <c r="J96" s="166">
        <f>SUM(J97:J104)</f>
        <v>470546.99</v>
      </c>
    </row>
    <row r="97" spans="2:12">
      <c r="B97" s="90" t="s">
        <v>126</v>
      </c>
      <c r="C97" s="37">
        <v>130112</v>
      </c>
      <c r="D97" s="90" t="s">
        <v>263</v>
      </c>
      <c r="E97" s="37" t="s">
        <v>80</v>
      </c>
      <c r="F97" s="37" t="s">
        <v>26</v>
      </c>
      <c r="G97" s="38">
        <f>VLOOKUP(B97,'MEMORIA DE CALCULO'!B:K,10,0)</f>
        <v>1756.74</v>
      </c>
      <c r="H97" s="38">
        <v>49.89</v>
      </c>
      <c r="I97" s="38">
        <f t="shared" ref="I97:I108" si="35">ROUND($H97*(1+$G$14),2)</f>
        <v>63.98</v>
      </c>
      <c r="J97" s="38">
        <f t="shared" ref="J97:J100" si="36">ROUND(G97*I97,2)</f>
        <v>112396.23</v>
      </c>
      <c r="K97" s="176"/>
      <c r="L97" s="153"/>
    </row>
    <row r="98" spans="2:12" ht="25.5">
      <c r="B98" s="90" t="s">
        <v>127</v>
      </c>
      <c r="C98" s="37">
        <v>130103</v>
      </c>
      <c r="D98" s="90" t="s">
        <v>264</v>
      </c>
      <c r="E98" s="37" t="s">
        <v>80</v>
      </c>
      <c r="F98" s="37" t="s">
        <v>26</v>
      </c>
      <c r="G98" s="38">
        <f>VLOOKUP(B98,'MEMORIA DE CALCULO'!B:K,10,0)</f>
        <v>1756.74</v>
      </c>
      <c r="H98" s="38">
        <v>24.65</v>
      </c>
      <c r="I98" s="38">
        <f t="shared" si="35"/>
        <v>31.61</v>
      </c>
      <c r="J98" s="38">
        <f t="shared" si="36"/>
        <v>55530.55</v>
      </c>
      <c r="K98" s="117"/>
      <c r="L98" s="153"/>
    </row>
    <row r="99" spans="2:12" ht="38.25">
      <c r="B99" s="90" t="s">
        <v>185</v>
      </c>
      <c r="C99" s="37">
        <v>130236</v>
      </c>
      <c r="D99" s="90" t="s">
        <v>265</v>
      </c>
      <c r="E99" s="37" t="s">
        <v>80</v>
      </c>
      <c r="F99" s="37" t="s">
        <v>26</v>
      </c>
      <c r="G99" s="38">
        <f>VLOOKUP(B99,'MEMORIA DE CALCULO'!B:K,10,0)</f>
        <v>109.65</v>
      </c>
      <c r="H99" s="38">
        <v>71.400000000000006</v>
      </c>
      <c r="I99" s="38">
        <f t="shared" si="35"/>
        <v>91.56</v>
      </c>
      <c r="J99" s="38">
        <f t="shared" si="36"/>
        <v>10039.549999999999</v>
      </c>
      <c r="K99" s="176"/>
      <c r="L99" s="153"/>
    </row>
    <row r="100" spans="2:12" ht="63.75">
      <c r="B100" s="90" t="s">
        <v>186</v>
      </c>
      <c r="C100" s="37">
        <v>130230</v>
      </c>
      <c r="D100" s="90" t="s">
        <v>268</v>
      </c>
      <c r="E100" s="37" t="s">
        <v>80</v>
      </c>
      <c r="F100" s="37" t="s">
        <v>26</v>
      </c>
      <c r="G100" s="38">
        <f>VLOOKUP(B100,'MEMORIA DE CALCULO'!B:K,10,0)</f>
        <v>1552.02</v>
      </c>
      <c r="H100" s="38">
        <v>125.56</v>
      </c>
      <c r="I100" s="38">
        <f t="shared" si="35"/>
        <v>161.01</v>
      </c>
      <c r="J100" s="38">
        <f t="shared" si="36"/>
        <v>249890.74</v>
      </c>
      <c r="K100" s="176"/>
      <c r="L100" s="153"/>
    </row>
    <row r="101" spans="2:12" ht="38.25">
      <c r="B101" s="90" t="s">
        <v>266</v>
      </c>
      <c r="C101" s="37">
        <v>98680</v>
      </c>
      <c r="D101" s="90" t="s">
        <v>267</v>
      </c>
      <c r="E101" s="37" t="s">
        <v>172</v>
      </c>
      <c r="F101" s="37" t="s">
        <v>26</v>
      </c>
      <c r="G101" s="38">
        <f>VLOOKUP(B101,'MEMORIA DE CALCULO'!B:K,10,0)</f>
        <v>95.07</v>
      </c>
      <c r="H101" s="38">
        <v>41.9</v>
      </c>
      <c r="I101" s="38">
        <f t="shared" si="35"/>
        <v>53.73</v>
      </c>
      <c r="J101" s="38">
        <f t="shared" ref="J101" si="37">ROUND(G101*I101,2)</f>
        <v>5108.1099999999997</v>
      </c>
      <c r="K101" s="176"/>
      <c r="L101" s="153"/>
    </row>
    <row r="102" spans="2:12">
      <c r="B102" s="90" t="s">
        <v>506</v>
      </c>
      <c r="C102" s="37">
        <v>130308</v>
      </c>
      <c r="D102" s="90" t="s">
        <v>507</v>
      </c>
      <c r="E102" s="37" t="s">
        <v>80</v>
      </c>
      <c r="F102" s="37" t="s">
        <v>27</v>
      </c>
      <c r="G102" s="38">
        <f>VLOOKUP(B102,'MEMORIA DE CALCULO'!B:K,10,0)</f>
        <v>34.900000000000006</v>
      </c>
      <c r="H102" s="38">
        <v>51.13</v>
      </c>
      <c r="I102" s="38">
        <f t="shared" si="35"/>
        <v>65.569999999999993</v>
      </c>
      <c r="J102" s="38">
        <f t="shared" ref="J102" si="38">ROUND(G102*I102,2)</f>
        <v>2288.39</v>
      </c>
      <c r="K102" s="176"/>
      <c r="L102" s="153"/>
    </row>
    <row r="103" spans="2:12" ht="55.5" customHeight="1">
      <c r="B103" s="90" t="s">
        <v>508</v>
      </c>
      <c r="C103" s="37">
        <v>130322</v>
      </c>
      <c r="D103" s="90" t="s">
        <v>509</v>
      </c>
      <c r="E103" s="37" t="s">
        <v>80</v>
      </c>
      <c r="F103" s="37" t="s">
        <v>27</v>
      </c>
      <c r="G103" s="38">
        <f>VLOOKUP(B103,'MEMORIA DE CALCULO'!B:K,10,0)</f>
        <v>682.15</v>
      </c>
      <c r="H103" s="38">
        <v>27.09</v>
      </c>
      <c r="I103" s="38">
        <f t="shared" si="35"/>
        <v>34.74</v>
      </c>
      <c r="J103" s="38">
        <f t="shared" ref="J103" si="39">ROUND(G103*I103,2)</f>
        <v>23697.89</v>
      </c>
      <c r="K103" s="176"/>
      <c r="L103" s="153"/>
    </row>
    <row r="104" spans="2:12" ht="18" customHeight="1">
      <c r="B104" s="90" t="s">
        <v>510</v>
      </c>
      <c r="C104" s="37">
        <v>130317</v>
      </c>
      <c r="D104" s="90" t="s">
        <v>590</v>
      </c>
      <c r="E104" s="37" t="s">
        <v>80</v>
      </c>
      <c r="F104" s="37" t="s">
        <v>27</v>
      </c>
      <c r="G104" s="38">
        <f>VLOOKUP(B104,'MEMORIA DE CALCULO'!B:K,10,0)</f>
        <v>110.56</v>
      </c>
      <c r="H104" s="38">
        <v>81.790000000000006</v>
      </c>
      <c r="I104" s="38">
        <f t="shared" si="35"/>
        <v>104.88</v>
      </c>
      <c r="J104" s="38">
        <f t="shared" ref="J104" si="40">ROUND(G104*I104,2)</f>
        <v>11595.53</v>
      </c>
      <c r="K104" s="176"/>
      <c r="L104" s="153"/>
    </row>
    <row r="105" spans="2:12">
      <c r="B105" s="161" t="s">
        <v>128</v>
      </c>
      <c r="C105" s="318" t="s">
        <v>28</v>
      </c>
      <c r="D105" s="320"/>
      <c r="E105" s="162"/>
      <c r="F105" s="163"/>
      <c r="G105" s="163"/>
      <c r="H105" s="164"/>
      <c r="I105" s="165"/>
      <c r="J105" s="166">
        <f>SUM(J106:J108)</f>
        <v>65774.11</v>
      </c>
    </row>
    <row r="106" spans="2:12" ht="38.25">
      <c r="B106" s="90" t="s">
        <v>129</v>
      </c>
      <c r="C106" s="37">
        <v>200206</v>
      </c>
      <c r="D106" s="90" t="s">
        <v>269</v>
      </c>
      <c r="E106" s="37" t="s">
        <v>80</v>
      </c>
      <c r="F106" s="37" t="s">
        <v>26</v>
      </c>
      <c r="G106" s="38">
        <f>VLOOKUP(B106,'MEMORIA DE CALCULO'!B:K,10,0)</f>
        <v>113.78</v>
      </c>
      <c r="H106" s="38">
        <v>97.75</v>
      </c>
      <c r="I106" s="38">
        <f t="shared" si="35"/>
        <v>125.35</v>
      </c>
      <c r="J106" s="38">
        <f t="shared" ref="J106" si="41">ROUND(G106*I106,2)</f>
        <v>14262.32</v>
      </c>
      <c r="K106" s="117"/>
      <c r="L106" s="153"/>
    </row>
    <row r="107" spans="2:12" ht="25.5">
      <c r="B107" s="90" t="s">
        <v>187</v>
      </c>
      <c r="C107" s="37">
        <v>200326</v>
      </c>
      <c r="D107" s="90" t="s">
        <v>158</v>
      </c>
      <c r="E107" s="37" t="s">
        <v>80</v>
      </c>
      <c r="F107" s="37" t="s">
        <v>26</v>
      </c>
      <c r="G107" s="38">
        <f>VLOOKUP(B107,'MEMORIA DE CALCULO'!B:K,10,0)</f>
        <v>961.58</v>
      </c>
      <c r="H107" s="38">
        <v>31.15</v>
      </c>
      <c r="I107" s="38">
        <f t="shared" si="35"/>
        <v>39.950000000000003</v>
      </c>
      <c r="J107" s="38">
        <f t="shared" ref="J107" si="42">ROUND(G107*I107,2)</f>
        <v>38415.120000000003</v>
      </c>
      <c r="K107" s="117"/>
      <c r="L107" s="153"/>
    </row>
    <row r="108" spans="2:12" ht="38.25">
      <c r="B108" s="90" t="s">
        <v>188</v>
      </c>
      <c r="C108" s="37">
        <v>200209</v>
      </c>
      <c r="D108" s="90" t="s">
        <v>270</v>
      </c>
      <c r="E108" s="37" t="s">
        <v>80</v>
      </c>
      <c r="F108" s="37" t="s">
        <v>26</v>
      </c>
      <c r="G108" s="38">
        <f>VLOOKUP(B108,'MEMORIA DE CALCULO'!B:K,10,0)</f>
        <v>67.19</v>
      </c>
      <c r="H108" s="38">
        <v>152</v>
      </c>
      <c r="I108" s="38">
        <f t="shared" si="35"/>
        <v>194.92</v>
      </c>
      <c r="J108" s="38">
        <f t="shared" ref="J108" si="43">ROUND(G108*I108,2)</f>
        <v>13096.67</v>
      </c>
      <c r="K108" s="117"/>
      <c r="L108" s="153"/>
    </row>
    <row r="109" spans="2:12" s="126" customFormat="1" ht="12.75" customHeight="1">
      <c r="B109" s="124">
        <v>10</v>
      </c>
      <c r="C109" s="314" t="s">
        <v>271</v>
      </c>
      <c r="D109" s="315"/>
      <c r="E109" s="133"/>
      <c r="F109" s="129"/>
      <c r="G109" s="129"/>
      <c r="H109" s="129"/>
      <c r="I109" s="131"/>
      <c r="J109" s="125">
        <f>SUM(J110:J113)</f>
        <v>190744.18</v>
      </c>
    </row>
    <row r="110" spans="2:12" ht="25.5">
      <c r="B110" s="90" t="s">
        <v>130</v>
      </c>
      <c r="C110" s="37">
        <v>190103</v>
      </c>
      <c r="D110" s="90" t="s">
        <v>92</v>
      </c>
      <c r="E110" s="37" t="s">
        <v>80</v>
      </c>
      <c r="F110" s="37" t="s">
        <v>26</v>
      </c>
      <c r="G110" s="38">
        <f>VLOOKUP(B110,'MEMORIA DE CALCULO'!B:K,10,0)</f>
        <v>3723.88</v>
      </c>
      <c r="H110" s="38">
        <v>16.809999999999999</v>
      </c>
      <c r="I110" s="38">
        <f t="shared" ref="I110:I113" si="44">ROUND($H110*(1+$G$14),2)</f>
        <v>21.56</v>
      </c>
      <c r="J110" s="38">
        <f t="shared" ref="J110:J113" si="45">ROUND(G110*I110,2)</f>
        <v>80286.850000000006</v>
      </c>
      <c r="K110" s="176"/>
      <c r="L110" s="175"/>
    </row>
    <row r="111" spans="2:12" ht="38.25">
      <c r="B111" s="90" t="s">
        <v>131</v>
      </c>
      <c r="C111" s="37">
        <v>190117</v>
      </c>
      <c r="D111" s="90" t="s">
        <v>272</v>
      </c>
      <c r="E111" s="37" t="s">
        <v>80</v>
      </c>
      <c r="F111" s="37" t="s">
        <v>26</v>
      </c>
      <c r="G111" s="38">
        <f>VLOOKUP(B111,'MEMORIA DE CALCULO'!B:K,10,0)</f>
        <v>3723.88</v>
      </c>
      <c r="H111" s="38">
        <v>20.51</v>
      </c>
      <c r="I111" s="38">
        <f t="shared" si="44"/>
        <v>26.3</v>
      </c>
      <c r="J111" s="38">
        <f t="shared" si="45"/>
        <v>97938.04</v>
      </c>
      <c r="K111" s="176"/>
      <c r="L111" s="153"/>
    </row>
    <row r="112" spans="2:12" ht="38.25">
      <c r="B112" s="90" t="s">
        <v>189</v>
      </c>
      <c r="C112" s="37">
        <v>190302</v>
      </c>
      <c r="D112" s="90" t="s">
        <v>273</v>
      </c>
      <c r="E112" s="37" t="s">
        <v>80</v>
      </c>
      <c r="F112" s="37" t="s">
        <v>26</v>
      </c>
      <c r="G112" s="38">
        <f>VLOOKUP(B112,'MEMORIA DE CALCULO'!B:K,10,0)</f>
        <v>192.875</v>
      </c>
      <c r="H112" s="38">
        <v>28.25</v>
      </c>
      <c r="I112" s="38">
        <f t="shared" si="44"/>
        <v>36.229999999999997</v>
      </c>
      <c r="J112" s="38">
        <f t="shared" si="45"/>
        <v>6987.86</v>
      </c>
      <c r="K112" s="176"/>
      <c r="L112" s="153"/>
    </row>
    <row r="113" spans="2:12" ht="38.25">
      <c r="B113" s="90" t="s">
        <v>190</v>
      </c>
      <c r="C113" s="37">
        <v>190417</v>
      </c>
      <c r="D113" s="90" t="s">
        <v>274</v>
      </c>
      <c r="E113" s="37" t="s">
        <v>80</v>
      </c>
      <c r="F113" s="37" t="s">
        <v>26</v>
      </c>
      <c r="G113" s="38">
        <f>VLOOKUP(B113,'MEMORIA DE CALCULO'!B:K,10,0)</f>
        <v>172.48000000000002</v>
      </c>
      <c r="H113" s="38">
        <v>25.01</v>
      </c>
      <c r="I113" s="38">
        <f t="shared" si="44"/>
        <v>32.07</v>
      </c>
      <c r="J113" s="38">
        <f t="shared" si="45"/>
        <v>5531.43</v>
      </c>
      <c r="K113" s="176"/>
      <c r="L113" s="153"/>
    </row>
    <row r="114" spans="2:12" s="126" customFormat="1" ht="12.75" customHeight="1">
      <c r="B114" s="124">
        <v>11</v>
      </c>
      <c r="C114" s="314" t="s">
        <v>275</v>
      </c>
      <c r="D114" s="315"/>
      <c r="E114" s="133"/>
      <c r="F114" s="129"/>
      <c r="G114" s="129"/>
      <c r="H114" s="129"/>
      <c r="I114" s="131"/>
      <c r="J114" s="125">
        <f>J115+J121+J127</f>
        <v>146453.14000000001</v>
      </c>
      <c r="L114" s="153"/>
    </row>
    <row r="115" spans="2:12">
      <c r="B115" s="161" t="s">
        <v>132</v>
      </c>
      <c r="C115" s="318" t="s">
        <v>276</v>
      </c>
      <c r="D115" s="320"/>
      <c r="E115" s="162"/>
      <c r="F115" s="163"/>
      <c r="G115" s="163"/>
      <c r="H115" s="164"/>
      <c r="I115" s="165"/>
      <c r="J115" s="166">
        <f>SUM(J116:J120)</f>
        <v>38357.85</v>
      </c>
    </row>
    <row r="116" spans="2:12" ht="25.5">
      <c r="B116" s="90" t="s">
        <v>133</v>
      </c>
      <c r="C116" s="37">
        <v>141409</v>
      </c>
      <c r="D116" s="90" t="s">
        <v>108</v>
      </c>
      <c r="E116" s="37" t="s">
        <v>80</v>
      </c>
      <c r="F116" s="37" t="s">
        <v>27</v>
      </c>
      <c r="G116" s="38">
        <f>VLOOKUP(B116,'MEMORIA DE CALCULO'!B:K,10,0)</f>
        <v>50</v>
      </c>
      <c r="H116" s="38">
        <v>21.39</v>
      </c>
      <c r="I116" s="38">
        <f t="shared" ref="I116:I133" si="46">ROUND($H116*(1+$G$14),2)</f>
        <v>27.43</v>
      </c>
      <c r="J116" s="38">
        <f t="shared" ref="J116:J120" si="47">ROUND(G116*I116,2)</f>
        <v>1371.5</v>
      </c>
      <c r="K116" s="176"/>
      <c r="L116" s="153"/>
    </row>
    <row r="117" spans="2:12" ht="25.5">
      <c r="B117" s="90" t="s">
        <v>134</v>
      </c>
      <c r="C117" s="37">
        <v>41410</v>
      </c>
      <c r="D117" s="90" t="s">
        <v>279</v>
      </c>
      <c r="E117" s="37" t="s">
        <v>80</v>
      </c>
      <c r="F117" s="37" t="s">
        <v>27</v>
      </c>
      <c r="G117" s="38">
        <f>VLOOKUP(B117,'MEMORIA DE CALCULO'!B:K,10,0)</f>
        <v>45</v>
      </c>
      <c r="H117" s="38">
        <v>24.22</v>
      </c>
      <c r="I117" s="38">
        <f t="shared" si="46"/>
        <v>31.06</v>
      </c>
      <c r="J117" s="38">
        <f t="shared" si="47"/>
        <v>1397.7</v>
      </c>
      <c r="K117" s="117"/>
      <c r="L117" s="153"/>
    </row>
    <row r="118" spans="2:12" ht="25.5">
      <c r="B118" s="90" t="s">
        <v>135</v>
      </c>
      <c r="C118" s="37">
        <v>141413</v>
      </c>
      <c r="D118" s="90" t="s">
        <v>278</v>
      </c>
      <c r="E118" s="37" t="s">
        <v>80</v>
      </c>
      <c r="F118" s="37" t="s">
        <v>27</v>
      </c>
      <c r="G118" s="38">
        <f>VLOOKUP(B118,'MEMORIA DE CALCULO'!B:K,10,0)</f>
        <v>90</v>
      </c>
      <c r="H118" s="38">
        <v>50.03</v>
      </c>
      <c r="I118" s="38">
        <f t="shared" si="46"/>
        <v>64.16</v>
      </c>
      <c r="J118" s="38">
        <f t="shared" si="47"/>
        <v>5774.4</v>
      </c>
      <c r="K118" s="176"/>
      <c r="L118" s="153"/>
    </row>
    <row r="119" spans="2:12" ht="25.5">
      <c r="B119" s="90" t="s">
        <v>136</v>
      </c>
      <c r="C119" s="37">
        <v>141415</v>
      </c>
      <c r="D119" s="90" t="s">
        <v>639</v>
      </c>
      <c r="E119" s="37" t="s">
        <v>80</v>
      </c>
      <c r="F119" s="37" t="s">
        <v>27</v>
      </c>
      <c r="G119" s="38">
        <f>VLOOKUP(B119,'MEMORIA DE CALCULO'!B:K,10,0)</f>
        <v>100</v>
      </c>
      <c r="H119" s="38">
        <v>111.69</v>
      </c>
      <c r="I119" s="38">
        <f t="shared" si="46"/>
        <v>143.22999999999999</v>
      </c>
      <c r="J119" s="38">
        <f t="shared" ref="J119" si="48">ROUND(G119*I119,2)</f>
        <v>14323</v>
      </c>
      <c r="K119" s="176"/>
      <c r="L119" s="153"/>
    </row>
    <row r="120" spans="2:12" ht="25.5">
      <c r="B120" s="90" t="s">
        <v>638</v>
      </c>
      <c r="C120" s="37">
        <v>141416</v>
      </c>
      <c r="D120" s="90" t="s">
        <v>277</v>
      </c>
      <c r="E120" s="37" t="s">
        <v>80</v>
      </c>
      <c r="F120" s="37" t="s">
        <v>27</v>
      </c>
      <c r="G120" s="38">
        <f>VLOOKUP(B120,'MEMORIA DE CALCULO'!B:K,10,0)</f>
        <v>85</v>
      </c>
      <c r="H120" s="38">
        <v>142.12</v>
      </c>
      <c r="I120" s="38">
        <f t="shared" si="46"/>
        <v>182.25</v>
      </c>
      <c r="J120" s="38">
        <f t="shared" si="47"/>
        <v>15491.25</v>
      </c>
      <c r="K120" s="176"/>
      <c r="L120" s="153"/>
    </row>
    <row r="121" spans="2:12">
      <c r="B121" s="161" t="s">
        <v>137</v>
      </c>
      <c r="C121" s="318" t="s">
        <v>519</v>
      </c>
      <c r="D121" s="320"/>
      <c r="E121" s="162"/>
      <c r="F121" s="163"/>
      <c r="G121" s="163"/>
      <c r="H121" s="164"/>
      <c r="I121" s="165"/>
      <c r="J121" s="166">
        <f>SUM(J122:J126)</f>
        <v>5654.4000000000005</v>
      </c>
    </row>
    <row r="122" spans="2:12" ht="51">
      <c r="B122" s="90" t="s">
        <v>138</v>
      </c>
      <c r="C122" s="37">
        <v>140207</v>
      </c>
      <c r="D122" s="90" t="s">
        <v>521</v>
      </c>
      <c r="E122" s="37" t="s">
        <v>80</v>
      </c>
      <c r="F122" s="37" t="s">
        <v>77</v>
      </c>
      <c r="G122" s="38">
        <f>VLOOKUP(B122,'MEMORIA DE CALCULO'!B:K,10,0)</f>
        <v>1</v>
      </c>
      <c r="H122" s="38">
        <v>504.89</v>
      </c>
      <c r="I122" s="38">
        <f t="shared" si="46"/>
        <v>647.45000000000005</v>
      </c>
      <c r="J122" s="38">
        <f t="shared" ref="J122:J126" si="49">ROUND(G122*I122,2)</f>
        <v>647.45000000000005</v>
      </c>
      <c r="K122" s="176"/>
      <c r="L122" s="153"/>
    </row>
    <row r="123" spans="2:12" ht="51">
      <c r="B123" s="90" t="s">
        <v>139</v>
      </c>
      <c r="C123" s="37">
        <v>140209</v>
      </c>
      <c r="D123" s="90" t="s">
        <v>522</v>
      </c>
      <c r="E123" s="37" t="s">
        <v>80</v>
      </c>
      <c r="F123" s="37" t="s">
        <v>77</v>
      </c>
      <c r="G123" s="38">
        <f>VLOOKUP(B123,'MEMORIA DE CALCULO'!B:K,10,0)</f>
        <v>1</v>
      </c>
      <c r="H123" s="38">
        <v>266.69</v>
      </c>
      <c r="I123" s="38">
        <f t="shared" si="46"/>
        <v>341.99</v>
      </c>
      <c r="J123" s="38">
        <f t="shared" ref="J123" si="50">ROUND(G123*I123,2)</f>
        <v>341.99</v>
      </c>
      <c r="K123" s="176"/>
      <c r="L123" s="153"/>
    </row>
    <row r="124" spans="2:12" ht="25.5">
      <c r="B124" s="90" t="s">
        <v>140</v>
      </c>
      <c r="C124" s="37">
        <v>94500</v>
      </c>
      <c r="D124" s="90" t="s">
        <v>280</v>
      </c>
      <c r="E124" s="37" t="s">
        <v>172</v>
      </c>
      <c r="F124" s="37" t="s">
        <v>77</v>
      </c>
      <c r="G124" s="38">
        <f>VLOOKUP(B124,'MEMORIA DE CALCULO'!B:K,10,0)</f>
        <v>2</v>
      </c>
      <c r="H124" s="38">
        <v>410.75</v>
      </c>
      <c r="I124" s="38">
        <f t="shared" si="46"/>
        <v>526.73</v>
      </c>
      <c r="J124" s="38">
        <f t="shared" ref="J124" si="51">ROUND(G124*I124,2)</f>
        <v>1053.46</v>
      </c>
      <c r="K124" s="176"/>
      <c r="L124" s="153"/>
    </row>
    <row r="125" spans="2:12" ht="38.25">
      <c r="B125" s="90" t="s">
        <v>141</v>
      </c>
      <c r="C125" s="37">
        <v>89987</v>
      </c>
      <c r="D125" s="90" t="s">
        <v>430</v>
      </c>
      <c r="E125" s="37" t="s">
        <v>172</v>
      </c>
      <c r="F125" s="37" t="s">
        <v>77</v>
      </c>
      <c r="G125" s="38">
        <f>VLOOKUP(B125,'MEMORIA DE CALCULO'!B:K,10,0)</f>
        <v>10</v>
      </c>
      <c r="H125" s="38">
        <v>108.49</v>
      </c>
      <c r="I125" s="38">
        <f t="shared" si="46"/>
        <v>139.12</v>
      </c>
      <c r="J125" s="38">
        <f t="shared" ref="J125" si="52">ROUND(G125*I125,2)</f>
        <v>1391.2</v>
      </c>
      <c r="K125" s="117"/>
      <c r="L125" s="153"/>
    </row>
    <row r="126" spans="2:12" ht="38.25">
      <c r="B126" s="90" t="s">
        <v>520</v>
      </c>
      <c r="C126" s="37">
        <v>94794</v>
      </c>
      <c r="D126" s="90" t="s">
        <v>429</v>
      </c>
      <c r="E126" s="37" t="s">
        <v>172</v>
      </c>
      <c r="F126" s="37" t="s">
        <v>77</v>
      </c>
      <c r="G126" s="38">
        <f>VLOOKUP(B126,'MEMORIA DE CALCULO'!B:K,10,0)</f>
        <v>9</v>
      </c>
      <c r="H126" s="38">
        <v>192.38</v>
      </c>
      <c r="I126" s="38">
        <f t="shared" si="46"/>
        <v>246.7</v>
      </c>
      <c r="J126" s="38">
        <f t="shared" si="49"/>
        <v>2220.3000000000002</v>
      </c>
      <c r="K126" s="117"/>
      <c r="L126" s="153"/>
    </row>
    <row r="127" spans="2:12">
      <c r="B127" s="161" t="s">
        <v>544</v>
      </c>
      <c r="C127" s="318" t="s">
        <v>551</v>
      </c>
      <c r="D127" s="320"/>
      <c r="E127" s="162"/>
      <c r="F127" s="163"/>
      <c r="G127" s="163"/>
      <c r="H127" s="164"/>
      <c r="I127" s="165"/>
      <c r="J127" s="166">
        <f>SUM(J128:J133)</f>
        <v>102440.89</v>
      </c>
    </row>
    <row r="128" spans="2:12" ht="25.5">
      <c r="B128" s="90" t="s">
        <v>545</v>
      </c>
      <c r="C128" s="93">
        <v>40243</v>
      </c>
      <c r="D128" s="90" t="s">
        <v>230</v>
      </c>
      <c r="E128" s="37" t="s">
        <v>80</v>
      </c>
      <c r="F128" s="37" t="s">
        <v>23</v>
      </c>
      <c r="G128" s="38">
        <f>VLOOKUP(B128,'MEMORIA DE CALCULO'!B:K,10,0)</f>
        <v>377.7</v>
      </c>
      <c r="H128" s="38">
        <v>11.08</v>
      </c>
      <c r="I128" s="38">
        <f t="shared" si="46"/>
        <v>14.21</v>
      </c>
      <c r="J128" s="38">
        <f t="shared" ref="J128:J130" si="53">ROUND(G128*I128,2)</f>
        <v>5367.12</v>
      </c>
      <c r="K128" s="176"/>
      <c r="L128" s="153"/>
    </row>
    <row r="129" spans="2:12" ht="25.5">
      <c r="B129" s="90" t="s">
        <v>546</v>
      </c>
      <c r="C129" s="93">
        <v>40245</v>
      </c>
      <c r="D129" s="90" t="s">
        <v>160</v>
      </c>
      <c r="E129" s="37" t="s">
        <v>80</v>
      </c>
      <c r="F129" s="37" t="s">
        <v>23</v>
      </c>
      <c r="G129" s="38">
        <f>VLOOKUP(B129,'MEMORIA DE CALCULO'!B:K,10,0)</f>
        <v>139</v>
      </c>
      <c r="H129" s="38">
        <v>11.52</v>
      </c>
      <c r="I129" s="38">
        <f t="shared" si="46"/>
        <v>14.77</v>
      </c>
      <c r="J129" s="38">
        <f t="shared" si="53"/>
        <v>2053.0300000000002</v>
      </c>
      <c r="K129" s="176"/>
      <c r="L129" s="153"/>
    </row>
    <row r="130" spans="2:12" ht="25.5">
      <c r="B130" s="90" t="s">
        <v>547</v>
      </c>
      <c r="C130" s="93">
        <v>40246</v>
      </c>
      <c r="D130" s="90" t="s">
        <v>231</v>
      </c>
      <c r="E130" s="37" t="s">
        <v>80</v>
      </c>
      <c r="F130" s="37" t="s">
        <v>23</v>
      </c>
      <c r="G130" s="38">
        <f>VLOOKUP(B130,'MEMORIA DE CALCULO'!B:K,10,0)</f>
        <v>60.1</v>
      </c>
      <c r="H130" s="38">
        <v>11.71</v>
      </c>
      <c r="I130" s="38">
        <f t="shared" si="46"/>
        <v>15.02</v>
      </c>
      <c r="J130" s="38">
        <f t="shared" si="53"/>
        <v>902.7</v>
      </c>
      <c r="K130" s="176"/>
      <c r="L130" s="153"/>
    </row>
    <row r="131" spans="2:12" ht="38.25">
      <c r="B131" s="90" t="s">
        <v>548</v>
      </c>
      <c r="C131" s="93">
        <v>40250</v>
      </c>
      <c r="D131" s="90" t="s">
        <v>159</v>
      </c>
      <c r="E131" s="37" t="s">
        <v>80</v>
      </c>
      <c r="F131" s="37" t="s">
        <v>26</v>
      </c>
      <c r="G131" s="38">
        <f>VLOOKUP(B131,'MEMORIA DE CALCULO'!B:K,10,0)</f>
        <v>29.2</v>
      </c>
      <c r="H131" s="38">
        <v>95.36</v>
      </c>
      <c r="I131" s="38">
        <f t="shared" si="46"/>
        <v>122.29</v>
      </c>
      <c r="J131" s="38">
        <f t="shared" ref="J131:J133" si="54">ROUND(G131*I131,2)</f>
        <v>3570.87</v>
      </c>
      <c r="K131" s="176"/>
      <c r="L131" s="153"/>
    </row>
    <row r="132" spans="2:12" ht="38.25">
      <c r="B132" s="90" t="s">
        <v>549</v>
      </c>
      <c r="C132" s="93">
        <v>40253</v>
      </c>
      <c r="D132" s="90" t="s">
        <v>111</v>
      </c>
      <c r="E132" s="37" t="s">
        <v>80</v>
      </c>
      <c r="F132" s="37" t="s">
        <v>95</v>
      </c>
      <c r="G132" s="38">
        <f>VLOOKUP(B132,'MEMORIA DE CALCULO'!B:K,10,0)</f>
        <v>8.8000000000000007</v>
      </c>
      <c r="H132" s="38">
        <v>687.31</v>
      </c>
      <c r="I132" s="38">
        <f t="shared" si="46"/>
        <v>881.38</v>
      </c>
      <c r="J132" s="38">
        <f t="shared" si="54"/>
        <v>7756.14</v>
      </c>
      <c r="K132" s="176"/>
      <c r="L132" s="153"/>
    </row>
    <row r="133" spans="2:12" ht="38.25">
      <c r="B133" s="90" t="s">
        <v>550</v>
      </c>
      <c r="C133" s="37">
        <v>7107377</v>
      </c>
      <c r="D133" s="90" t="s">
        <v>765</v>
      </c>
      <c r="E133" s="37" t="s">
        <v>766</v>
      </c>
      <c r="F133" s="37" t="s">
        <v>77</v>
      </c>
      <c r="G133" s="38">
        <f>VLOOKUP(B133,'MEMORIA DE CALCULO'!B:K,10,0)</f>
        <v>1</v>
      </c>
      <c r="H133" s="38">
        <v>64561.35</v>
      </c>
      <c r="I133" s="38">
        <f t="shared" si="46"/>
        <v>82791.03</v>
      </c>
      <c r="J133" s="38">
        <f t="shared" si="54"/>
        <v>82791.03</v>
      </c>
      <c r="K133" s="176"/>
      <c r="L133" s="153"/>
    </row>
    <row r="134" spans="2:12" s="126" customFormat="1" ht="12.75" customHeight="1">
      <c r="B134" s="124">
        <v>12</v>
      </c>
      <c r="C134" s="314" t="s">
        <v>281</v>
      </c>
      <c r="D134" s="315"/>
      <c r="E134" s="133"/>
      <c r="F134" s="129"/>
      <c r="G134" s="129"/>
      <c r="H134" s="129"/>
      <c r="I134" s="131"/>
      <c r="J134" s="125">
        <f>SUM(J135:J137)</f>
        <v>29473.03</v>
      </c>
    </row>
    <row r="135" spans="2:12" ht="25.5">
      <c r="B135" s="90" t="s">
        <v>142</v>
      </c>
      <c r="C135" s="37">
        <v>141909</v>
      </c>
      <c r="D135" s="90" t="s">
        <v>109</v>
      </c>
      <c r="E135" s="37" t="s">
        <v>80</v>
      </c>
      <c r="F135" s="37" t="s">
        <v>27</v>
      </c>
      <c r="G135" s="38">
        <f>VLOOKUP(B135,'MEMORIA DE CALCULO'!B:K,10,0)</f>
        <v>241</v>
      </c>
      <c r="H135" s="38">
        <v>84.67</v>
      </c>
      <c r="I135" s="38">
        <f t="shared" ref="I135:I181" si="55">ROUND($H135*(1+$G$14),2)</f>
        <v>108.58</v>
      </c>
      <c r="J135" s="38">
        <f t="shared" ref="J135:J137" si="56">ROUND(G135*I135,2)</f>
        <v>26167.78</v>
      </c>
      <c r="K135" s="176"/>
      <c r="L135" s="175"/>
    </row>
    <row r="136" spans="2:12" ht="51">
      <c r="B136" s="90" t="s">
        <v>143</v>
      </c>
      <c r="C136" s="37">
        <v>141102</v>
      </c>
      <c r="D136" s="90" t="s">
        <v>282</v>
      </c>
      <c r="E136" s="37" t="s">
        <v>80</v>
      </c>
      <c r="F136" s="37" t="s">
        <v>77</v>
      </c>
      <c r="G136" s="38">
        <f>VLOOKUP(B136,'MEMORIA DE CALCULO'!B:K,10,0)</f>
        <v>4</v>
      </c>
      <c r="H136" s="38">
        <v>547.95000000000005</v>
      </c>
      <c r="I136" s="38">
        <f t="shared" si="55"/>
        <v>702.67</v>
      </c>
      <c r="J136" s="38">
        <f t="shared" si="56"/>
        <v>2810.68</v>
      </c>
      <c r="K136" s="176"/>
      <c r="L136" s="153"/>
    </row>
    <row r="137" spans="2:12" ht="38.25">
      <c r="B137" s="90" t="s">
        <v>144</v>
      </c>
      <c r="C137" s="37">
        <v>89495</v>
      </c>
      <c r="D137" s="90" t="s">
        <v>283</v>
      </c>
      <c r="E137" s="37" t="s">
        <v>172</v>
      </c>
      <c r="F137" s="37" t="s">
        <v>77</v>
      </c>
      <c r="G137" s="38">
        <f>VLOOKUP(B137,'MEMORIA DE CALCULO'!B:K,10,0)</f>
        <v>19</v>
      </c>
      <c r="H137" s="38">
        <v>20.3</v>
      </c>
      <c r="I137" s="38">
        <f t="shared" si="55"/>
        <v>26.03</v>
      </c>
      <c r="J137" s="38">
        <f t="shared" si="56"/>
        <v>494.57</v>
      </c>
      <c r="K137" s="176"/>
      <c r="L137" s="153"/>
    </row>
    <row r="138" spans="2:12" s="126" customFormat="1" ht="12.75" customHeight="1">
      <c r="B138" s="124">
        <v>13</v>
      </c>
      <c r="C138" s="314" t="s">
        <v>103</v>
      </c>
      <c r="D138" s="315"/>
      <c r="E138" s="133"/>
      <c r="F138" s="129"/>
      <c r="G138" s="129"/>
      <c r="H138" s="129"/>
      <c r="I138" s="131"/>
      <c r="J138" s="125">
        <f>SUM(J139:J146)</f>
        <v>30148.030000000002</v>
      </c>
    </row>
    <row r="139" spans="2:12" ht="25.5">
      <c r="B139" s="90" t="s">
        <v>145</v>
      </c>
      <c r="C139" s="37">
        <v>141906</v>
      </c>
      <c r="D139" s="90" t="s">
        <v>284</v>
      </c>
      <c r="E139" s="37" t="s">
        <v>80</v>
      </c>
      <c r="F139" s="37" t="s">
        <v>27</v>
      </c>
      <c r="G139" s="38">
        <f>VLOOKUP(B139,'MEMORIA DE CALCULO'!B:K,10,0)</f>
        <v>19</v>
      </c>
      <c r="H139" s="38">
        <v>35.69</v>
      </c>
      <c r="I139" s="38">
        <f t="shared" si="55"/>
        <v>45.77</v>
      </c>
      <c r="J139" s="38">
        <f t="shared" ref="J139:J140" si="57">ROUND(G139*I139,2)</f>
        <v>869.63</v>
      </c>
      <c r="K139" s="176"/>
      <c r="L139" s="153"/>
    </row>
    <row r="140" spans="2:12" ht="25.5">
      <c r="B140" s="90" t="s">
        <v>146</v>
      </c>
      <c r="C140" s="37">
        <v>141907</v>
      </c>
      <c r="D140" s="90" t="s">
        <v>110</v>
      </c>
      <c r="E140" s="37" t="s">
        <v>80</v>
      </c>
      <c r="F140" s="37" t="s">
        <v>27</v>
      </c>
      <c r="G140" s="38">
        <f>VLOOKUP(B140,'MEMORIA DE CALCULO'!B:K,10,0)</f>
        <v>43</v>
      </c>
      <c r="H140" s="38">
        <v>46.2</v>
      </c>
      <c r="I140" s="38">
        <f t="shared" si="55"/>
        <v>59.25</v>
      </c>
      <c r="J140" s="38">
        <f t="shared" si="57"/>
        <v>2547.75</v>
      </c>
      <c r="K140" s="176"/>
      <c r="L140" s="153"/>
    </row>
    <row r="141" spans="2:12" ht="25.5">
      <c r="B141" s="90" t="s">
        <v>147</v>
      </c>
      <c r="C141" s="37">
        <v>141908</v>
      </c>
      <c r="D141" s="90" t="s">
        <v>431</v>
      </c>
      <c r="E141" s="37" t="s">
        <v>80</v>
      </c>
      <c r="F141" s="37" t="s">
        <v>27</v>
      </c>
      <c r="G141" s="38">
        <f>VLOOKUP(B141,'MEMORIA DE CALCULO'!B:K,10,0)</f>
        <v>13</v>
      </c>
      <c r="H141" s="38">
        <v>68.8</v>
      </c>
      <c r="I141" s="38">
        <f>ROUND($H141*(1+$G$14),2)</f>
        <v>88.23</v>
      </c>
      <c r="J141" s="38">
        <f>ROUND(G141*I141,2)</f>
        <v>1146.99</v>
      </c>
      <c r="K141" s="176"/>
      <c r="L141" s="153"/>
    </row>
    <row r="142" spans="2:12" ht="25.5">
      <c r="B142" s="90" t="s">
        <v>163</v>
      </c>
      <c r="C142" s="37">
        <v>141909</v>
      </c>
      <c r="D142" s="90" t="s">
        <v>109</v>
      </c>
      <c r="E142" s="37" t="s">
        <v>80</v>
      </c>
      <c r="F142" s="37" t="s">
        <v>27</v>
      </c>
      <c r="G142" s="38">
        <f>VLOOKUP(B142,'MEMORIA DE CALCULO'!B:K,10,0)</f>
        <v>130</v>
      </c>
      <c r="H142" s="38">
        <v>84.67</v>
      </c>
      <c r="I142" s="38">
        <f t="shared" si="55"/>
        <v>108.58</v>
      </c>
      <c r="J142" s="38">
        <f t="shared" ref="J142:J146" si="58">ROUND(G142*I142,2)</f>
        <v>14115.4</v>
      </c>
      <c r="K142" s="176"/>
      <c r="L142" s="153"/>
    </row>
    <row r="143" spans="2:12" ht="25.5">
      <c r="B143" s="90" t="s">
        <v>164</v>
      </c>
      <c r="C143" s="37">
        <v>141910</v>
      </c>
      <c r="D143" s="90" t="s">
        <v>432</v>
      </c>
      <c r="E143" s="37" t="s">
        <v>80</v>
      </c>
      <c r="F143" s="37" t="s">
        <v>27</v>
      </c>
      <c r="G143" s="38">
        <f>VLOOKUP(B143,'MEMORIA DE CALCULO'!B:K,10,0)</f>
        <v>55</v>
      </c>
      <c r="H143" s="38">
        <v>116.13</v>
      </c>
      <c r="I143" s="38">
        <f t="shared" si="55"/>
        <v>148.91999999999999</v>
      </c>
      <c r="J143" s="38">
        <f t="shared" ref="J143" si="59">ROUND(G143*I143,2)</f>
        <v>8190.6</v>
      </c>
      <c r="K143" s="176"/>
      <c r="L143" s="153"/>
    </row>
    <row r="144" spans="2:12" ht="51">
      <c r="B144" s="90" t="s">
        <v>165</v>
      </c>
      <c r="C144" s="37">
        <v>141104</v>
      </c>
      <c r="D144" s="90" t="s">
        <v>285</v>
      </c>
      <c r="E144" s="37" t="s">
        <v>80</v>
      </c>
      <c r="F144" s="37" t="s">
        <v>77</v>
      </c>
      <c r="G144" s="38">
        <f>VLOOKUP(B144,'MEMORIA DE CALCULO'!B:K,10,0)</f>
        <v>1</v>
      </c>
      <c r="H144" s="38">
        <v>594.42999999999995</v>
      </c>
      <c r="I144" s="38">
        <f t="shared" si="55"/>
        <v>762.27</v>
      </c>
      <c r="J144" s="38">
        <f t="shared" si="58"/>
        <v>762.27</v>
      </c>
      <c r="K144" s="176"/>
      <c r="L144" s="153"/>
    </row>
    <row r="145" spans="2:12" ht="51">
      <c r="B145" s="90" t="s">
        <v>287</v>
      </c>
      <c r="C145" s="37">
        <v>141101</v>
      </c>
      <c r="D145" s="90" t="s">
        <v>434</v>
      </c>
      <c r="E145" s="37" t="s">
        <v>80</v>
      </c>
      <c r="F145" s="37" t="s">
        <v>77</v>
      </c>
      <c r="G145" s="38">
        <f>VLOOKUP(B145,'MEMORIA DE CALCULO'!B:K,10,0)</f>
        <v>3</v>
      </c>
      <c r="H145" s="38">
        <v>556.39</v>
      </c>
      <c r="I145" s="38">
        <f t="shared" si="55"/>
        <v>713.49</v>
      </c>
      <c r="J145" s="38">
        <f t="shared" ref="J145" si="60">ROUND(G145*I145,2)</f>
        <v>2140.4699999999998</v>
      </c>
      <c r="K145" s="176"/>
      <c r="L145" s="153"/>
    </row>
    <row r="146" spans="2:12" ht="38.25">
      <c r="B146" s="90" t="s">
        <v>433</v>
      </c>
      <c r="C146" s="37">
        <v>89709</v>
      </c>
      <c r="D146" s="90" t="s">
        <v>286</v>
      </c>
      <c r="E146" s="37" t="s">
        <v>172</v>
      </c>
      <c r="F146" s="37" t="s">
        <v>77</v>
      </c>
      <c r="G146" s="38">
        <f>VLOOKUP(B146,'MEMORIA DE CALCULO'!B:K,10,0)</f>
        <v>13</v>
      </c>
      <c r="H146" s="38">
        <v>22.49</v>
      </c>
      <c r="I146" s="38">
        <f t="shared" si="55"/>
        <v>28.84</v>
      </c>
      <c r="J146" s="38">
        <f t="shared" si="58"/>
        <v>374.92</v>
      </c>
      <c r="K146" s="176"/>
      <c r="L146" s="153"/>
    </row>
    <row r="147" spans="2:12" s="126" customFormat="1" ht="12.75" customHeight="1">
      <c r="B147" s="124">
        <v>14</v>
      </c>
      <c r="C147" s="314" t="s">
        <v>288</v>
      </c>
      <c r="D147" s="315"/>
      <c r="E147" s="133"/>
      <c r="F147" s="129"/>
      <c r="G147" s="129"/>
      <c r="H147" s="129"/>
      <c r="I147" s="131"/>
      <c r="J147" s="125">
        <f>SUM(J148:J166)</f>
        <v>66483.739999999991</v>
      </c>
    </row>
    <row r="148" spans="2:12" ht="38.25">
      <c r="B148" s="90" t="s">
        <v>148</v>
      </c>
      <c r="C148" s="37">
        <v>170116</v>
      </c>
      <c r="D148" s="90" t="s">
        <v>353</v>
      </c>
      <c r="E148" s="37" t="s">
        <v>80</v>
      </c>
      <c r="F148" s="37" t="s">
        <v>77</v>
      </c>
      <c r="G148" s="38">
        <f>VLOOKUP(B148,'MEMORIA DE CALCULO'!B:K,10,0)</f>
        <v>14</v>
      </c>
      <c r="H148" s="38">
        <v>523.04999999999995</v>
      </c>
      <c r="I148" s="38">
        <f t="shared" si="55"/>
        <v>670.74</v>
      </c>
      <c r="J148" s="38">
        <f t="shared" ref="J148:J150" si="61">ROUND(G148*I148,2)</f>
        <v>9390.36</v>
      </c>
      <c r="K148" s="176"/>
      <c r="L148" s="175"/>
    </row>
    <row r="149" spans="2:12" ht="51">
      <c r="B149" s="90" t="s">
        <v>149</v>
      </c>
      <c r="C149" s="37">
        <v>95472</v>
      </c>
      <c r="D149" s="90" t="s">
        <v>173</v>
      </c>
      <c r="E149" s="37" t="s">
        <v>172</v>
      </c>
      <c r="F149" s="37" t="s">
        <v>77</v>
      </c>
      <c r="G149" s="38">
        <f>VLOOKUP(B149,'MEMORIA DE CALCULO'!B:K,10,0)</f>
        <v>5</v>
      </c>
      <c r="H149" s="38">
        <v>727.43</v>
      </c>
      <c r="I149" s="38">
        <f t="shared" si="55"/>
        <v>932.83</v>
      </c>
      <c r="J149" s="38">
        <f t="shared" si="61"/>
        <v>4664.1499999999996</v>
      </c>
      <c r="K149" s="176"/>
      <c r="L149" s="153"/>
    </row>
    <row r="150" spans="2:12" ht="25.5">
      <c r="B150" s="90" t="s">
        <v>150</v>
      </c>
      <c r="C150" s="37">
        <v>170129</v>
      </c>
      <c r="D150" s="90" t="s">
        <v>640</v>
      </c>
      <c r="E150" s="37" t="s">
        <v>80</v>
      </c>
      <c r="F150" s="37" t="s">
        <v>77</v>
      </c>
      <c r="G150" s="38">
        <f>VLOOKUP(B150,'MEMORIA DE CALCULO'!B:K,10,0)</f>
        <v>2</v>
      </c>
      <c r="H150" s="38">
        <v>663.36</v>
      </c>
      <c r="I150" s="38">
        <f t="shared" si="55"/>
        <v>850.67</v>
      </c>
      <c r="J150" s="38">
        <f t="shared" si="61"/>
        <v>1701.34</v>
      </c>
      <c r="K150" s="176"/>
      <c r="L150" s="153"/>
    </row>
    <row r="151" spans="2:12" ht="38.25">
      <c r="B151" s="90" t="s">
        <v>151</v>
      </c>
      <c r="C151" s="37">
        <v>100868</v>
      </c>
      <c r="D151" s="90" t="s">
        <v>354</v>
      </c>
      <c r="E151" s="37" t="s">
        <v>172</v>
      </c>
      <c r="F151" s="37" t="s">
        <v>77</v>
      </c>
      <c r="G151" s="38">
        <f>VLOOKUP(B151,'MEMORIA DE CALCULO'!B:K,10,0)</f>
        <v>10</v>
      </c>
      <c r="H151" s="38">
        <v>337.13</v>
      </c>
      <c r="I151" s="38">
        <f t="shared" si="55"/>
        <v>432.32</v>
      </c>
      <c r="J151" s="38">
        <f t="shared" ref="J151" si="62">ROUND(G151*I151,2)</f>
        <v>4323.2</v>
      </c>
      <c r="K151" s="176"/>
      <c r="L151" s="153"/>
    </row>
    <row r="152" spans="2:12" ht="38.25">
      <c r="B152" s="90" t="s">
        <v>152</v>
      </c>
      <c r="C152" s="37">
        <v>99635</v>
      </c>
      <c r="D152" s="90" t="s">
        <v>355</v>
      </c>
      <c r="E152" s="37" t="s">
        <v>172</v>
      </c>
      <c r="F152" s="37" t="s">
        <v>77</v>
      </c>
      <c r="G152" s="38">
        <f>VLOOKUP(B152,'MEMORIA DE CALCULO'!B:K,10,0)</f>
        <v>19</v>
      </c>
      <c r="H152" s="38">
        <v>294.23</v>
      </c>
      <c r="I152" s="38">
        <f t="shared" si="55"/>
        <v>377.31</v>
      </c>
      <c r="J152" s="38">
        <f t="shared" ref="J152:J154" si="63">ROUND(G152*I152,2)</f>
        <v>7168.89</v>
      </c>
      <c r="K152" s="176"/>
      <c r="L152" s="175"/>
    </row>
    <row r="153" spans="2:12" ht="25.5">
      <c r="B153" s="90" t="s">
        <v>153</v>
      </c>
      <c r="C153" s="37">
        <v>86901</v>
      </c>
      <c r="D153" s="90" t="s">
        <v>356</v>
      </c>
      <c r="E153" s="37" t="s">
        <v>172</v>
      </c>
      <c r="F153" s="37" t="s">
        <v>77</v>
      </c>
      <c r="G153" s="38">
        <f>VLOOKUP(B153,'MEMORIA DE CALCULO'!B:K,10,0)</f>
        <v>8</v>
      </c>
      <c r="H153" s="38">
        <v>140.22</v>
      </c>
      <c r="I153" s="38">
        <f t="shared" si="55"/>
        <v>179.81</v>
      </c>
      <c r="J153" s="38">
        <f t="shared" si="63"/>
        <v>1438.48</v>
      </c>
      <c r="K153" s="176"/>
      <c r="L153" s="153"/>
    </row>
    <row r="154" spans="2:12" ht="25.5">
      <c r="B154" s="90" t="s">
        <v>191</v>
      </c>
      <c r="C154" s="37">
        <v>100852</v>
      </c>
      <c r="D154" s="90" t="s">
        <v>357</v>
      </c>
      <c r="E154" s="37" t="s">
        <v>172</v>
      </c>
      <c r="F154" s="37" t="s">
        <v>77</v>
      </c>
      <c r="G154" s="38">
        <f>VLOOKUP(B154,'MEMORIA DE CALCULO'!B:K,10,0)</f>
        <v>4</v>
      </c>
      <c r="H154" s="38">
        <v>228.94</v>
      </c>
      <c r="I154" s="38">
        <f t="shared" si="55"/>
        <v>293.58</v>
      </c>
      <c r="J154" s="38">
        <f t="shared" si="63"/>
        <v>1174.32</v>
      </c>
      <c r="K154" s="176"/>
      <c r="L154" s="153"/>
    </row>
    <row r="155" spans="2:12" ht="38.25">
      <c r="B155" s="90" t="s">
        <v>192</v>
      </c>
      <c r="C155" s="37">
        <v>170613</v>
      </c>
      <c r="D155" s="90" t="s">
        <v>358</v>
      </c>
      <c r="E155" s="37" t="s">
        <v>80</v>
      </c>
      <c r="F155" s="37" t="s">
        <v>77</v>
      </c>
      <c r="G155" s="38">
        <f>VLOOKUP(B155,'MEMORIA DE CALCULO'!B:K,10,0)</f>
        <v>5</v>
      </c>
      <c r="H155" s="38">
        <v>1910.82</v>
      </c>
      <c r="I155" s="38">
        <f t="shared" si="55"/>
        <v>2450.36</v>
      </c>
      <c r="J155" s="38">
        <f t="shared" ref="J155:J160" si="64">ROUND(G155*I155,2)</f>
        <v>12251.8</v>
      </c>
      <c r="K155" s="176"/>
      <c r="L155" s="175"/>
    </row>
    <row r="156" spans="2:12" ht="25.5">
      <c r="B156" s="90" t="s">
        <v>342</v>
      </c>
      <c r="C156" s="37">
        <v>86902</v>
      </c>
      <c r="D156" s="90" t="s">
        <v>359</v>
      </c>
      <c r="E156" s="37" t="s">
        <v>172</v>
      </c>
      <c r="F156" s="37" t="s">
        <v>77</v>
      </c>
      <c r="G156" s="38">
        <f>VLOOKUP(B156,'MEMORIA DE CALCULO'!B:K,10,0)</f>
        <v>2</v>
      </c>
      <c r="H156" s="38">
        <v>295.81</v>
      </c>
      <c r="I156" s="38">
        <f t="shared" si="55"/>
        <v>379.34</v>
      </c>
      <c r="J156" s="38">
        <f t="shared" si="64"/>
        <v>758.68</v>
      </c>
      <c r="K156" s="176"/>
      <c r="L156" s="153"/>
    </row>
    <row r="157" spans="2:12" ht="25.5">
      <c r="B157" s="90" t="s">
        <v>343</v>
      </c>
      <c r="C157" s="37">
        <v>170546</v>
      </c>
      <c r="D157" s="90" t="s">
        <v>592</v>
      </c>
      <c r="E157" s="37" t="s">
        <v>80</v>
      </c>
      <c r="F157" s="37" t="s">
        <v>77</v>
      </c>
      <c r="G157" s="38">
        <f>VLOOKUP(B157,'MEMORIA DE CALCULO'!B:K,10,0)</f>
        <v>1</v>
      </c>
      <c r="H157" s="38">
        <v>365.3</v>
      </c>
      <c r="I157" s="38">
        <f t="shared" si="55"/>
        <v>468.45</v>
      </c>
      <c r="J157" s="38">
        <f t="shared" si="64"/>
        <v>468.45</v>
      </c>
      <c r="K157" s="176"/>
      <c r="L157" s="153"/>
    </row>
    <row r="158" spans="2:12" ht="25.5">
      <c r="B158" s="90" t="s">
        <v>344</v>
      </c>
      <c r="C158" s="37">
        <v>95544</v>
      </c>
      <c r="D158" s="90" t="s">
        <v>360</v>
      </c>
      <c r="E158" s="37" t="s">
        <v>172</v>
      </c>
      <c r="F158" s="37" t="s">
        <v>77</v>
      </c>
      <c r="G158" s="38">
        <f>VLOOKUP(B158,'MEMORIA DE CALCULO'!B:K,10,0)</f>
        <v>7</v>
      </c>
      <c r="H158" s="38">
        <v>38.97</v>
      </c>
      <c r="I158" s="38">
        <f t="shared" si="55"/>
        <v>49.97</v>
      </c>
      <c r="J158" s="38">
        <f t="shared" si="64"/>
        <v>349.79</v>
      </c>
      <c r="K158" s="176"/>
      <c r="L158" s="175"/>
    </row>
    <row r="159" spans="2:12" ht="38.25">
      <c r="B159" s="90" t="s">
        <v>345</v>
      </c>
      <c r="C159" s="37">
        <v>95547</v>
      </c>
      <c r="D159" s="90" t="s">
        <v>361</v>
      </c>
      <c r="E159" s="37" t="s">
        <v>172</v>
      </c>
      <c r="F159" s="37" t="s">
        <v>77</v>
      </c>
      <c r="G159" s="38">
        <f>VLOOKUP(B159,'MEMORIA DE CALCULO'!B:K,10,0)</f>
        <v>7</v>
      </c>
      <c r="H159" s="38">
        <v>78.709999999999994</v>
      </c>
      <c r="I159" s="38">
        <f t="shared" si="55"/>
        <v>100.93</v>
      </c>
      <c r="J159" s="38">
        <f t="shared" si="64"/>
        <v>706.51</v>
      </c>
      <c r="K159" s="176"/>
      <c r="L159" s="153"/>
    </row>
    <row r="160" spans="2:12" ht="25.5">
      <c r="B160" s="90" t="s">
        <v>346</v>
      </c>
      <c r="C160" s="37">
        <v>170304</v>
      </c>
      <c r="D160" s="90" t="s">
        <v>362</v>
      </c>
      <c r="E160" s="37" t="s">
        <v>80</v>
      </c>
      <c r="F160" s="37" t="s">
        <v>77</v>
      </c>
      <c r="G160" s="38">
        <f>VLOOKUP(B160,'MEMORIA DE CALCULO'!B:K,10,0)</f>
        <v>15</v>
      </c>
      <c r="H160" s="38">
        <v>196.09</v>
      </c>
      <c r="I160" s="38">
        <f t="shared" si="55"/>
        <v>251.46</v>
      </c>
      <c r="J160" s="38">
        <f t="shared" si="64"/>
        <v>3771.9</v>
      </c>
      <c r="K160" s="176"/>
      <c r="L160" s="153"/>
    </row>
    <row r="161" spans="2:12" ht="25.5">
      <c r="B161" s="90" t="s">
        <v>347</v>
      </c>
      <c r="C161" s="37">
        <v>170310</v>
      </c>
      <c r="D161" s="90" t="s">
        <v>363</v>
      </c>
      <c r="E161" s="37" t="s">
        <v>80</v>
      </c>
      <c r="F161" s="37" t="s">
        <v>77</v>
      </c>
      <c r="G161" s="38">
        <f>VLOOKUP(B161,'MEMORIA DE CALCULO'!B:K,10,0)</f>
        <v>2</v>
      </c>
      <c r="H161" s="38">
        <v>187.86</v>
      </c>
      <c r="I161" s="38">
        <f t="shared" si="55"/>
        <v>240.9</v>
      </c>
      <c r="J161" s="38">
        <f t="shared" ref="J161:J165" si="65">ROUND(G161*I161,2)</f>
        <v>481.8</v>
      </c>
      <c r="K161" s="176"/>
      <c r="L161" s="175"/>
    </row>
    <row r="162" spans="2:12" ht="25.5">
      <c r="B162" s="90" t="s">
        <v>348</v>
      </c>
      <c r="C162" s="37">
        <v>170309</v>
      </c>
      <c r="D162" s="90" t="s">
        <v>364</v>
      </c>
      <c r="E162" s="37" t="s">
        <v>80</v>
      </c>
      <c r="F162" s="37" t="s">
        <v>77</v>
      </c>
      <c r="G162" s="38">
        <f>VLOOKUP(B162,'MEMORIA DE CALCULO'!B:K,10,0)</f>
        <v>1</v>
      </c>
      <c r="H162" s="38">
        <v>108.2</v>
      </c>
      <c r="I162" s="38">
        <f t="shared" si="55"/>
        <v>138.75</v>
      </c>
      <c r="J162" s="38">
        <f t="shared" ref="J162" si="66">ROUND(G162*I162,2)</f>
        <v>138.75</v>
      </c>
      <c r="K162" s="176"/>
      <c r="L162" s="175"/>
    </row>
    <row r="163" spans="2:12" ht="25.5">
      <c r="B163" s="90" t="s">
        <v>349</v>
      </c>
      <c r="C163" s="37">
        <v>170315</v>
      </c>
      <c r="D163" s="90" t="s">
        <v>365</v>
      </c>
      <c r="E163" s="37" t="s">
        <v>80</v>
      </c>
      <c r="F163" s="37" t="s">
        <v>77</v>
      </c>
      <c r="G163" s="38">
        <f>VLOOKUP(B163,'MEMORIA DE CALCULO'!B:K,10,0)</f>
        <v>4</v>
      </c>
      <c r="H163" s="38">
        <v>231.77</v>
      </c>
      <c r="I163" s="38">
        <f t="shared" si="55"/>
        <v>297.20999999999998</v>
      </c>
      <c r="J163" s="38">
        <f t="shared" si="65"/>
        <v>1188.8399999999999</v>
      </c>
      <c r="K163" s="176"/>
      <c r="L163" s="153"/>
    </row>
    <row r="164" spans="2:12" ht="25.5">
      <c r="B164" s="90" t="s">
        <v>350</v>
      </c>
      <c r="C164" s="37">
        <v>170519</v>
      </c>
      <c r="D164" s="90" t="s">
        <v>98</v>
      </c>
      <c r="E164" s="37" t="s">
        <v>80</v>
      </c>
      <c r="F164" s="37" t="s">
        <v>77</v>
      </c>
      <c r="G164" s="38">
        <f>VLOOKUP(B164,'MEMORIA DE CALCULO'!B:K,10,0)</f>
        <v>21</v>
      </c>
      <c r="H164" s="38">
        <v>318.89</v>
      </c>
      <c r="I164" s="38">
        <f t="shared" si="55"/>
        <v>408.93</v>
      </c>
      <c r="J164" s="38">
        <f t="shared" si="65"/>
        <v>8587.5300000000007</v>
      </c>
      <c r="K164" s="176"/>
      <c r="L164" s="153"/>
    </row>
    <row r="165" spans="2:12">
      <c r="B165" s="90" t="s">
        <v>351</v>
      </c>
      <c r="C165" s="37">
        <v>170220</v>
      </c>
      <c r="D165" s="90" t="s">
        <v>366</v>
      </c>
      <c r="E165" s="37" t="s">
        <v>80</v>
      </c>
      <c r="F165" s="37" t="s">
        <v>26</v>
      </c>
      <c r="G165" s="38">
        <f>VLOOKUP(B165,'MEMORIA DE CALCULO'!B:K,10,0)</f>
        <v>9</v>
      </c>
      <c r="H165" s="38">
        <v>369.17</v>
      </c>
      <c r="I165" s="38">
        <f t="shared" si="55"/>
        <v>473.41</v>
      </c>
      <c r="J165" s="38">
        <f t="shared" si="65"/>
        <v>4260.6899999999996</v>
      </c>
      <c r="K165" s="176"/>
      <c r="L165" s="153"/>
    </row>
    <row r="166" spans="2:12" ht="38.25">
      <c r="B166" s="90" t="s">
        <v>352</v>
      </c>
      <c r="C166" s="37">
        <v>80201</v>
      </c>
      <c r="D166" s="90" t="s">
        <v>593</v>
      </c>
      <c r="E166" s="37" t="s">
        <v>80</v>
      </c>
      <c r="F166" s="37" t="s">
        <v>26</v>
      </c>
      <c r="G166" s="38">
        <f>VLOOKUP(B166,'MEMORIA DE CALCULO'!B:K,10,0)</f>
        <v>4.32</v>
      </c>
      <c r="H166" s="38">
        <v>660.36</v>
      </c>
      <c r="I166" s="38">
        <f t="shared" si="55"/>
        <v>846.82</v>
      </c>
      <c r="J166" s="38">
        <f t="shared" ref="J166" si="67">ROUND(G166*I166,2)</f>
        <v>3658.26</v>
      </c>
      <c r="K166" s="176"/>
      <c r="L166" s="153"/>
    </row>
    <row r="167" spans="2:12" s="126" customFormat="1" ht="12.75" customHeight="1">
      <c r="B167" s="124">
        <v>15</v>
      </c>
      <c r="C167" s="314" t="s">
        <v>289</v>
      </c>
      <c r="D167" s="315"/>
      <c r="E167" s="133"/>
      <c r="F167" s="129"/>
      <c r="G167" s="129"/>
      <c r="H167" s="129"/>
      <c r="I167" s="131"/>
      <c r="J167" s="125">
        <f>SUM(J168:J170)</f>
        <v>3518.02</v>
      </c>
    </row>
    <row r="168" spans="2:12" ht="51">
      <c r="B168" s="90" t="s">
        <v>154</v>
      </c>
      <c r="C168" s="37">
        <v>92688</v>
      </c>
      <c r="D168" s="90" t="s">
        <v>466</v>
      </c>
      <c r="E168" s="37" t="s">
        <v>172</v>
      </c>
      <c r="F168" s="37" t="s">
        <v>27</v>
      </c>
      <c r="G168" s="38">
        <f>VLOOKUP(B168,'MEMORIA DE CALCULO'!B:K,10,0)</f>
        <v>42</v>
      </c>
      <c r="H168" s="38">
        <v>58.07</v>
      </c>
      <c r="I168" s="38">
        <f t="shared" si="55"/>
        <v>74.47</v>
      </c>
      <c r="J168" s="38">
        <f t="shared" ref="J168:J170" si="68">ROUND(G168*I168,2)</f>
        <v>3127.74</v>
      </c>
      <c r="K168" s="176"/>
      <c r="L168" s="175"/>
    </row>
    <row r="169" spans="2:12" ht="25.5">
      <c r="B169" s="90" t="s">
        <v>155</v>
      </c>
      <c r="C169" s="37">
        <v>103029</v>
      </c>
      <c r="D169" s="90" t="s">
        <v>467</v>
      </c>
      <c r="E169" s="37" t="s">
        <v>172</v>
      </c>
      <c r="F169" s="37" t="s">
        <v>77</v>
      </c>
      <c r="G169" s="38">
        <f>VLOOKUP(B169,'MEMORIA DE CALCULO'!B:K,10,0)</f>
        <v>3</v>
      </c>
      <c r="H169" s="38">
        <v>52.05</v>
      </c>
      <c r="I169" s="38">
        <f t="shared" si="55"/>
        <v>66.75</v>
      </c>
      <c r="J169" s="38">
        <f t="shared" si="68"/>
        <v>200.25</v>
      </c>
      <c r="K169" s="176"/>
      <c r="L169" s="153"/>
    </row>
    <row r="170" spans="2:12" ht="25.5">
      <c r="B170" s="90" t="s">
        <v>167</v>
      </c>
      <c r="C170" s="37">
        <v>101917</v>
      </c>
      <c r="D170" s="90" t="s">
        <v>468</v>
      </c>
      <c r="E170" s="37" t="s">
        <v>172</v>
      </c>
      <c r="F170" s="37" t="s">
        <v>77</v>
      </c>
      <c r="G170" s="38">
        <f>VLOOKUP(B170,'MEMORIA DE CALCULO'!B:K,10,0)</f>
        <v>1</v>
      </c>
      <c r="H170" s="38">
        <v>148.19</v>
      </c>
      <c r="I170" s="38">
        <f t="shared" si="55"/>
        <v>190.03</v>
      </c>
      <c r="J170" s="38">
        <f t="shared" si="68"/>
        <v>190.03</v>
      </c>
      <c r="K170" s="176"/>
      <c r="L170" s="153"/>
    </row>
    <row r="171" spans="2:12" s="126" customFormat="1" ht="12.75" customHeight="1">
      <c r="B171" s="124">
        <v>16</v>
      </c>
      <c r="C171" s="314" t="s">
        <v>290</v>
      </c>
      <c r="D171" s="315"/>
      <c r="E171" s="133"/>
      <c r="F171" s="129"/>
      <c r="G171" s="129"/>
      <c r="H171" s="129"/>
      <c r="I171" s="131"/>
      <c r="J171" s="125">
        <f>SUM(J172:J181)</f>
        <v>58490.369999999995</v>
      </c>
    </row>
    <row r="172" spans="2:12">
      <c r="B172" s="90" t="s">
        <v>168</v>
      </c>
      <c r="C172" s="37">
        <v>180301</v>
      </c>
      <c r="D172" s="90" t="s">
        <v>162</v>
      </c>
      <c r="E172" s="37" t="s">
        <v>80</v>
      </c>
      <c r="F172" s="37" t="s">
        <v>77</v>
      </c>
      <c r="G172" s="38">
        <f>VLOOKUP(B172,'MEMORIA DE CALCULO'!B:K,10,0)</f>
        <v>2</v>
      </c>
      <c r="H172" s="38">
        <v>4943.1499999999996</v>
      </c>
      <c r="I172" s="38">
        <f t="shared" si="55"/>
        <v>6338.91</v>
      </c>
      <c r="J172" s="38">
        <f t="shared" ref="J172:J174" si="69">ROUND(G172*I172,2)</f>
        <v>12677.82</v>
      </c>
      <c r="K172" s="176"/>
      <c r="L172" s="175"/>
    </row>
    <row r="173" spans="2:12" ht="38.25">
      <c r="B173" s="90" t="s">
        <v>169</v>
      </c>
      <c r="C173" s="37">
        <v>160606</v>
      </c>
      <c r="D173" s="90" t="s">
        <v>112</v>
      </c>
      <c r="E173" s="37" t="s">
        <v>80</v>
      </c>
      <c r="F173" s="37" t="s">
        <v>77</v>
      </c>
      <c r="G173" s="38">
        <f>VLOOKUP(B173,'MEMORIA DE CALCULO'!B:K,10,0)</f>
        <v>6</v>
      </c>
      <c r="H173" s="38">
        <v>682.73</v>
      </c>
      <c r="I173" s="38">
        <f t="shared" si="55"/>
        <v>875.51</v>
      </c>
      <c r="J173" s="38">
        <f t="shared" si="69"/>
        <v>5253.06</v>
      </c>
      <c r="K173" s="176"/>
      <c r="L173" s="153"/>
    </row>
    <row r="174" spans="2:12" ht="38.25">
      <c r="B174" s="90" t="s">
        <v>292</v>
      </c>
      <c r="C174" s="37">
        <v>160604</v>
      </c>
      <c r="D174" s="90" t="s">
        <v>465</v>
      </c>
      <c r="E174" s="37" t="s">
        <v>80</v>
      </c>
      <c r="F174" s="37" t="s">
        <v>77</v>
      </c>
      <c r="G174" s="38">
        <f>VLOOKUP(B174,'MEMORIA DE CALCULO'!B:K,10,0)</f>
        <v>5</v>
      </c>
      <c r="H174" s="38">
        <v>216.99</v>
      </c>
      <c r="I174" s="38">
        <f t="shared" si="55"/>
        <v>278.26</v>
      </c>
      <c r="J174" s="38">
        <f t="shared" si="69"/>
        <v>1391.3</v>
      </c>
      <c r="K174" s="176"/>
      <c r="L174" s="153"/>
    </row>
    <row r="175" spans="2:12" ht="51">
      <c r="B175" s="90" t="s">
        <v>451</v>
      </c>
      <c r="C175" s="37">
        <v>160602</v>
      </c>
      <c r="D175" s="90" t="s">
        <v>464</v>
      </c>
      <c r="E175" s="37" t="s">
        <v>80</v>
      </c>
      <c r="F175" s="37" t="s">
        <v>77</v>
      </c>
      <c r="G175" s="38">
        <f>VLOOKUP(B175,'MEMORIA DE CALCULO'!B:K,10,0)</f>
        <v>4</v>
      </c>
      <c r="H175" s="38">
        <v>1722.8</v>
      </c>
      <c r="I175" s="38">
        <f t="shared" si="55"/>
        <v>2209.25</v>
      </c>
      <c r="J175" s="38">
        <f t="shared" ref="J175:J178" si="70">ROUND(G175*I175,2)</f>
        <v>8837</v>
      </c>
      <c r="K175" s="176"/>
      <c r="L175" s="153"/>
    </row>
    <row r="176" spans="2:12" ht="38.25">
      <c r="B176" s="90" t="s">
        <v>452</v>
      </c>
      <c r="C176" s="37">
        <v>160612</v>
      </c>
      <c r="D176" s="90" t="s">
        <v>463</v>
      </c>
      <c r="E176" s="37" t="s">
        <v>80</v>
      </c>
      <c r="F176" s="37" t="s">
        <v>77</v>
      </c>
      <c r="G176" s="38">
        <f>VLOOKUP(B176,'MEMORIA DE CALCULO'!B:K,10,0)</f>
        <v>56</v>
      </c>
      <c r="H176" s="38">
        <v>25.42</v>
      </c>
      <c r="I176" s="38">
        <f t="shared" si="55"/>
        <v>32.6</v>
      </c>
      <c r="J176" s="38">
        <f t="shared" si="70"/>
        <v>1825.6</v>
      </c>
      <c r="K176" s="176"/>
      <c r="L176" s="153"/>
    </row>
    <row r="177" spans="2:12" ht="25.5">
      <c r="B177" s="90" t="s">
        <v>453</v>
      </c>
      <c r="C177" s="37">
        <v>160630</v>
      </c>
      <c r="D177" s="90" t="s">
        <v>462</v>
      </c>
      <c r="E177" s="37" t="s">
        <v>80</v>
      </c>
      <c r="F177" s="37" t="s">
        <v>27</v>
      </c>
      <c r="G177" s="38">
        <f>VLOOKUP(B177,'MEMORIA DE CALCULO'!B:K,10,0)</f>
        <v>118</v>
      </c>
      <c r="H177" s="38">
        <v>150.86000000000001</v>
      </c>
      <c r="I177" s="38">
        <f t="shared" si="55"/>
        <v>193.46</v>
      </c>
      <c r="J177" s="38">
        <f t="shared" si="70"/>
        <v>22828.28</v>
      </c>
      <c r="K177" s="176"/>
      <c r="L177" s="153"/>
    </row>
    <row r="178" spans="2:12">
      <c r="B178" s="90" t="s">
        <v>454</v>
      </c>
      <c r="C178" s="37">
        <v>160642</v>
      </c>
      <c r="D178" s="90" t="s">
        <v>461</v>
      </c>
      <c r="E178" s="37" t="s">
        <v>80</v>
      </c>
      <c r="F178" s="37" t="s">
        <v>77</v>
      </c>
      <c r="G178" s="38">
        <f>VLOOKUP(B178,'MEMORIA DE CALCULO'!B:K,10,0)</f>
        <v>6</v>
      </c>
      <c r="H178" s="38">
        <v>95.82</v>
      </c>
      <c r="I178" s="38">
        <f t="shared" si="55"/>
        <v>122.88</v>
      </c>
      <c r="J178" s="38">
        <f t="shared" si="70"/>
        <v>737.28</v>
      </c>
      <c r="K178" s="176"/>
      <c r="L178" s="153"/>
    </row>
    <row r="179" spans="2:12">
      <c r="B179" s="90" t="s">
        <v>455</v>
      </c>
      <c r="C179" s="37">
        <v>160638</v>
      </c>
      <c r="D179" s="90" t="s">
        <v>460</v>
      </c>
      <c r="E179" s="37" t="s">
        <v>80</v>
      </c>
      <c r="F179" s="37" t="s">
        <v>77</v>
      </c>
      <c r="G179" s="38">
        <f>VLOOKUP(B179,'MEMORIA DE CALCULO'!B:K,10,0)</f>
        <v>4</v>
      </c>
      <c r="H179" s="38">
        <v>123.18</v>
      </c>
      <c r="I179" s="38">
        <f t="shared" si="55"/>
        <v>157.96</v>
      </c>
      <c r="J179" s="38">
        <f t="shared" ref="J179:J180" si="71">ROUND(G179*I179,2)</f>
        <v>631.84</v>
      </c>
      <c r="K179" s="176"/>
      <c r="L179" s="153"/>
    </row>
    <row r="180" spans="2:12">
      <c r="B180" s="90" t="s">
        <v>456</v>
      </c>
      <c r="C180" s="37">
        <v>160634</v>
      </c>
      <c r="D180" s="90" t="s">
        <v>459</v>
      </c>
      <c r="E180" s="37" t="s">
        <v>80</v>
      </c>
      <c r="F180" s="37" t="s">
        <v>77</v>
      </c>
      <c r="G180" s="38">
        <f>VLOOKUP(B180,'MEMORIA DE CALCULO'!B:K,10,0)</f>
        <v>5</v>
      </c>
      <c r="H180" s="38">
        <v>421.14</v>
      </c>
      <c r="I180" s="38">
        <f t="shared" si="55"/>
        <v>540.04999999999995</v>
      </c>
      <c r="J180" s="38">
        <f t="shared" si="71"/>
        <v>2700.25</v>
      </c>
      <c r="K180" s="176"/>
      <c r="L180" s="153"/>
    </row>
    <row r="181" spans="2:12">
      <c r="B181" s="90" t="s">
        <v>457</v>
      </c>
      <c r="C181" s="37">
        <v>160654</v>
      </c>
      <c r="D181" s="90" t="s">
        <v>458</v>
      </c>
      <c r="E181" s="37" t="s">
        <v>80</v>
      </c>
      <c r="F181" s="37" t="s">
        <v>77</v>
      </c>
      <c r="G181" s="38">
        <f>VLOOKUP(B181,'MEMORIA DE CALCULO'!B:K,10,0)</f>
        <v>3</v>
      </c>
      <c r="H181" s="38">
        <v>417.96</v>
      </c>
      <c r="I181" s="38">
        <f t="shared" si="55"/>
        <v>535.98</v>
      </c>
      <c r="J181" s="38">
        <f t="shared" ref="J181" si="72">ROUND(G181*I181,2)</f>
        <v>1607.94</v>
      </c>
      <c r="K181" s="176"/>
      <c r="L181" s="153"/>
    </row>
    <row r="182" spans="2:12">
      <c r="B182" s="124">
        <v>17</v>
      </c>
      <c r="C182" s="314" t="s">
        <v>205</v>
      </c>
      <c r="D182" s="315"/>
      <c r="E182" s="128"/>
      <c r="F182" s="129"/>
      <c r="G182" s="129"/>
      <c r="H182" s="129"/>
      <c r="I182" s="131"/>
      <c r="J182" s="125">
        <f>J183+J188+J198+J211+J220+J223+J232</f>
        <v>808336.14</v>
      </c>
    </row>
    <row r="183" spans="2:12">
      <c r="B183" s="161" t="s">
        <v>294</v>
      </c>
      <c r="C183" s="318" t="s">
        <v>104</v>
      </c>
      <c r="D183" s="320"/>
      <c r="E183" s="162"/>
      <c r="F183" s="163"/>
      <c r="G183" s="163"/>
      <c r="H183" s="164"/>
      <c r="I183" s="165"/>
      <c r="J183" s="166">
        <f>SUM(J184:J187)</f>
        <v>102344.61000000002</v>
      </c>
    </row>
    <row r="184" spans="2:12" ht="38.25">
      <c r="B184" s="167" t="s">
        <v>367</v>
      </c>
      <c r="C184" s="187">
        <v>150317</v>
      </c>
      <c r="D184" s="188" t="s">
        <v>600</v>
      </c>
      <c r="E184" s="187" t="s">
        <v>80</v>
      </c>
      <c r="F184" s="187" t="s">
        <v>77</v>
      </c>
      <c r="G184" s="38">
        <f>VLOOKUP(B184,'MEMORIA DE CALCULO'!B:K,10,0)</f>
        <v>1</v>
      </c>
      <c r="H184" s="189">
        <v>1605.78</v>
      </c>
      <c r="I184" s="38">
        <f t="shared" ref="I184:I231" si="73">ROUND($H184*(1+$G$14),2)</f>
        <v>2059.19</v>
      </c>
      <c r="J184" s="168">
        <f t="shared" ref="J184:J186" si="74">ROUND(G184*I184,2)</f>
        <v>2059.19</v>
      </c>
    </row>
    <row r="185" spans="2:12" ht="25.5">
      <c r="B185" s="167" t="s">
        <v>368</v>
      </c>
      <c r="C185" s="187">
        <v>150308</v>
      </c>
      <c r="D185" s="188" t="s">
        <v>206</v>
      </c>
      <c r="E185" s="187" t="s">
        <v>80</v>
      </c>
      <c r="F185" s="187" t="s">
        <v>77</v>
      </c>
      <c r="G185" s="38">
        <f>VLOOKUP(B185,'MEMORIA DE CALCULO'!B:K,10,0)</f>
        <v>3</v>
      </c>
      <c r="H185" s="189">
        <v>601.4</v>
      </c>
      <c r="I185" s="38">
        <f t="shared" si="73"/>
        <v>771.21</v>
      </c>
      <c r="J185" s="168">
        <f t="shared" si="74"/>
        <v>2313.63</v>
      </c>
    </row>
    <row r="186" spans="2:12">
      <c r="B186" s="167" t="s">
        <v>369</v>
      </c>
      <c r="C186" s="187" t="s">
        <v>469</v>
      </c>
      <c r="D186" s="188" t="s">
        <v>371</v>
      </c>
      <c r="E186" s="194" t="s">
        <v>215</v>
      </c>
      <c r="F186" s="187" t="s">
        <v>77</v>
      </c>
      <c r="G186" s="38">
        <f>VLOOKUP(B186,'MEMORIA DE CALCULO'!B:K,10,0)</f>
        <v>1</v>
      </c>
      <c r="H186" s="189">
        <f>COMPOSICOES!G47</f>
        <v>5823.8</v>
      </c>
      <c r="I186" s="38">
        <f t="shared" si="73"/>
        <v>7468.22</v>
      </c>
      <c r="J186" s="168">
        <f t="shared" si="74"/>
        <v>7468.22</v>
      </c>
    </row>
    <row r="187" spans="2:12" ht="51">
      <c r="B187" s="167" t="s">
        <v>370</v>
      </c>
      <c r="C187" s="187">
        <v>151714</v>
      </c>
      <c r="D187" s="167" t="s">
        <v>601</v>
      </c>
      <c r="E187" s="187" t="s">
        <v>80</v>
      </c>
      <c r="F187" s="187" t="s">
        <v>77</v>
      </c>
      <c r="G187" s="38">
        <f>VLOOKUP(B187,'MEMORIA DE CALCULO'!B:K,10,0)</f>
        <v>1</v>
      </c>
      <c r="H187" s="189">
        <v>70575.67</v>
      </c>
      <c r="I187" s="38">
        <f t="shared" si="73"/>
        <v>90503.57</v>
      </c>
      <c r="J187" s="168">
        <f t="shared" ref="J187" si="75">ROUND(G187*I187,2)</f>
        <v>90503.57</v>
      </c>
    </row>
    <row r="188" spans="2:12">
      <c r="B188" s="169" t="s">
        <v>372</v>
      </c>
      <c r="C188" s="316" t="s">
        <v>105</v>
      </c>
      <c r="D188" s="317"/>
      <c r="E188" s="170"/>
      <c r="F188" s="171"/>
      <c r="G188" s="171"/>
      <c r="H188" s="172"/>
      <c r="I188" s="173"/>
      <c r="J188" s="174">
        <f>SUM(J189:J197)</f>
        <v>5037.0599999999995</v>
      </c>
    </row>
    <row r="189" spans="2:12" s="126" customFormat="1" ht="29.25" customHeight="1">
      <c r="B189" s="167" t="s">
        <v>373</v>
      </c>
      <c r="C189" s="187">
        <v>151338</v>
      </c>
      <c r="D189" s="188" t="s">
        <v>382</v>
      </c>
      <c r="E189" s="187" t="s">
        <v>80</v>
      </c>
      <c r="F189" s="187" t="s">
        <v>77</v>
      </c>
      <c r="G189" s="38">
        <f>VLOOKUP(B189,'MEMORIA DE CALCULO'!B:K,10,0)</f>
        <v>1</v>
      </c>
      <c r="H189" s="189">
        <v>21.27</v>
      </c>
      <c r="I189" s="38">
        <f t="shared" si="73"/>
        <v>27.28</v>
      </c>
      <c r="J189" s="168">
        <f t="shared" ref="J189:J194" si="76">ROUND(G189*I189,2)</f>
        <v>27.28</v>
      </c>
    </row>
    <row r="190" spans="2:12" ht="25.5">
      <c r="B190" s="167" t="s">
        <v>374</v>
      </c>
      <c r="C190" s="187">
        <v>151302</v>
      </c>
      <c r="D190" s="188" t="s">
        <v>383</v>
      </c>
      <c r="E190" s="187" t="s">
        <v>80</v>
      </c>
      <c r="F190" s="187" t="s">
        <v>77</v>
      </c>
      <c r="G190" s="38">
        <f>VLOOKUP(B190,'MEMORIA DE CALCULO'!B:K,10,0)</f>
        <v>7</v>
      </c>
      <c r="H190" s="189">
        <v>21.27</v>
      </c>
      <c r="I190" s="38">
        <f t="shared" si="73"/>
        <v>27.28</v>
      </c>
      <c r="J190" s="168">
        <f t="shared" si="76"/>
        <v>190.96</v>
      </c>
    </row>
    <row r="191" spans="2:12" ht="38.25">
      <c r="B191" s="167" t="s">
        <v>375</v>
      </c>
      <c r="C191" s="187">
        <v>151334</v>
      </c>
      <c r="D191" s="188" t="s">
        <v>714</v>
      </c>
      <c r="E191" s="187" t="s">
        <v>80</v>
      </c>
      <c r="F191" s="187" t="s">
        <v>212</v>
      </c>
      <c r="G191" s="38">
        <f>VLOOKUP(B191,'MEMORIA DE CALCULO'!B:K,10,0)</f>
        <v>1</v>
      </c>
      <c r="H191" s="189">
        <v>584.61</v>
      </c>
      <c r="I191" s="38">
        <f t="shared" si="73"/>
        <v>749.68</v>
      </c>
      <c r="J191" s="168">
        <f t="shared" si="76"/>
        <v>749.68</v>
      </c>
    </row>
    <row r="192" spans="2:12" ht="25.5">
      <c r="B192" s="167" t="s">
        <v>376</v>
      </c>
      <c r="C192" s="187">
        <v>151331</v>
      </c>
      <c r="D192" s="188" t="s">
        <v>385</v>
      </c>
      <c r="E192" s="187" t="s">
        <v>80</v>
      </c>
      <c r="F192" s="187" t="s">
        <v>212</v>
      </c>
      <c r="G192" s="38">
        <f>VLOOKUP(B192,'MEMORIA DE CALCULO'!B:K,10,0)</f>
        <v>3</v>
      </c>
      <c r="H192" s="189">
        <v>156.19</v>
      </c>
      <c r="I192" s="38">
        <f t="shared" si="73"/>
        <v>200.29</v>
      </c>
      <c r="J192" s="168">
        <f t="shared" ref="J192" si="77">ROUND(G192*I192,2)</f>
        <v>600.87</v>
      </c>
    </row>
    <row r="193" spans="2:10" s="126" customFormat="1" ht="12.75" customHeight="1">
      <c r="B193" s="167" t="s">
        <v>377</v>
      </c>
      <c r="C193" s="187">
        <v>151306</v>
      </c>
      <c r="D193" s="188" t="s">
        <v>602</v>
      </c>
      <c r="E193" s="187" t="s">
        <v>80</v>
      </c>
      <c r="F193" s="187" t="s">
        <v>212</v>
      </c>
      <c r="G193" s="38">
        <f>VLOOKUP(B193,'MEMORIA DE CALCULO'!B:K,10,0)</f>
        <v>2</v>
      </c>
      <c r="H193" s="189">
        <v>63.19</v>
      </c>
      <c r="I193" s="38">
        <f t="shared" si="73"/>
        <v>81.03</v>
      </c>
      <c r="J193" s="168">
        <f t="shared" si="76"/>
        <v>162.06</v>
      </c>
    </row>
    <row r="194" spans="2:10" ht="25.5">
      <c r="B194" s="167" t="s">
        <v>378</v>
      </c>
      <c r="C194" s="187">
        <v>151301</v>
      </c>
      <c r="D194" s="188" t="s">
        <v>664</v>
      </c>
      <c r="E194" s="187" t="s">
        <v>80</v>
      </c>
      <c r="F194" s="187" t="s">
        <v>212</v>
      </c>
      <c r="G194" s="38">
        <f>VLOOKUP(B194,'MEMORIA DE CALCULO'!B:K,10,0)</f>
        <v>4</v>
      </c>
      <c r="H194" s="189">
        <v>21.27</v>
      </c>
      <c r="I194" s="38">
        <f t="shared" si="73"/>
        <v>27.28</v>
      </c>
      <c r="J194" s="168">
        <f t="shared" si="76"/>
        <v>109.12</v>
      </c>
    </row>
    <row r="195" spans="2:10" s="126" customFormat="1" ht="22.5" customHeight="1">
      <c r="B195" s="167" t="s">
        <v>379</v>
      </c>
      <c r="C195" s="187">
        <v>151303</v>
      </c>
      <c r="D195" s="188" t="s">
        <v>603</v>
      </c>
      <c r="E195" s="187" t="s">
        <v>80</v>
      </c>
      <c r="F195" s="187" t="s">
        <v>212</v>
      </c>
      <c r="G195" s="38">
        <f>VLOOKUP(B195,'MEMORIA DE CALCULO'!B:K,10,0)</f>
        <v>2</v>
      </c>
      <c r="H195" s="189">
        <v>21.27</v>
      </c>
      <c r="I195" s="38">
        <f t="shared" si="73"/>
        <v>27.28</v>
      </c>
      <c r="J195" s="168">
        <f t="shared" ref="J195:J197" si="78">ROUND(G195*I195,2)</f>
        <v>54.56</v>
      </c>
    </row>
    <row r="196" spans="2:10" ht="25.5">
      <c r="B196" s="167" t="s">
        <v>380</v>
      </c>
      <c r="C196" s="187">
        <v>151322</v>
      </c>
      <c r="D196" s="188" t="s">
        <v>208</v>
      </c>
      <c r="E196" s="187" t="s">
        <v>80</v>
      </c>
      <c r="F196" s="187" t="s">
        <v>77</v>
      </c>
      <c r="G196" s="38">
        <f>VLOOKUP(B196,'MEMORIA DE CALCULO'!B:K,10,0)</f>
        <v>23</v>
      </c>
      <c r="H196" s="189">
        <v>63.19</v>
      </c>
      <c r="I196" s="38">
        <f t="shared" si="73"/>
        <v>81.03</v>
      </c>
      <c r="J196" s="168">
        <f t="shared" si="78"/>
        <v>1863.69</v>
      </c>
    </row>
    <row r="197" spans="2:10" ht="25.5">
      <c r="B197" s="167" t="s">
        <v>381</v>
      </c>
      <c r="C197" s="187">
        <v>151337</v>
      </c>
      <c r="D197" s="195" t="s">
        <v>166</v>
      </c>
      <c r="E197" s="187" t="s">
        <v>80</v>
      </c>
      <c r="F197" s="187" t="s">
        <v>387</v>
      </c>
      <c r="G197" s="38">
        <f>VLOOKUP(B197,'MEMORIA DE CALCULO'!B:K,10,0)</f>
        <v>6</v>
      </c>
      <c r="H197" s="189">
        <v>166.21</v>
      </c>
      <c r="I197" s="38">
        <f t="shared" si="73"/>
        <v>213.14</v>
      </c>
      <c r="J197" s="168">
        <f t="shared" si="78"/>
        <v>1278.8399999999999</v>
      </c>
    </row>
    <row r="198" spans="2:10">
      <c r="B198" s="169" t="s">
        <v>388</v>
      </c>
      <c r="C198" s="324" t="s">
        <v>209</v>
      </c>
      <c r="D198" s="325"/>
      <c r="E198" s="170"/>
      <c r="F198" s="171"/>
      <c r="G198" s="171"/>
      <c r="H198" s="172"/>
      <c r="I198" s="173"/>
      <c r="J198" s="174">
        <f>SUM(J199:J210)</f>
        <v>69260.28</v>
      </c>
    </row>
    <row r="199" spans="2:10">
      <c r="B199" s="167" t="s">
        <v>389</v>
      </c>
      <c r="C199" s="187">
        <v>151132</v>
      </c>
      <c r="D199" s="188" t="s">
        <v>96</v>
      </c>
      <c r="E199" s="187" t="s">
        <v>80</v>
      </c>
      <c r="F199" s="187" t="s">
        <v>27</v>
      </c>
      <c r="G199" s="38">
        <f>VLOOKUP(B199,'MEMORIA DE CALCULO'!B:K,10,0)</f>
        <v>1400</v>
      </c>
      <c r="H199" s="189">
        <v>9.2799999999999994</v>
      </c>
      <c r="I199" s="38">
        <f t="shared" si="73"/>
        <v>11.9</v>
      </c>
      <c r="J199" s="168">
        <f t="shared" ref="J199:J201" si="79">ROUND(G199*I199,2)</f>
        <v>16660</v>
      </c>
    </row>
    <row r="200" spans="2:10">
      <c r="B200" s="167" t="s">
        <v>390</v>
      </c>
      <c r="C200" s="187">
        <v>151133</v>
      </c>
      <c r="D200" s="188" t="s">
        <v>210</v>
      </c>
      <c r="E200" s="187" t="s">
        <v>80</v>
      </c>
      <c r="F200" s="187" t="s">
        <v>27</v>
      </c>
      <c r="G200" s="38">
        <f>VLOOKUP(B200,'MEMORIA DE CALCULO'!B:K,10,0)</f>
        <v>500</v>
      </c>
      <c r="H200" s="189">
        <v>10.15</v>
      </c>
      <c r="I200" s="38">
        <f t="shared" si="73"/>
        <v>13.02</v>
      </c>
      <c r="J200" s="168">
        <f t="shared" si="79"/>
        <v>6510</v>
      </c>
    </row>
    <row r="201" spans="2:10" s="126" customFormat="1" ht="12.75" customHeight="1">
      <c r="B201" s="167" t="s">
        <v>391</v>
      </c>
      <c r="C201" s="187">
        <v>151139</v>
      </c>
      <c r="D201" s="188" t="s">
        <v>396</v>
      </c>
      <c r="E201" s="187" t="s">
        <v>80</v>
      </c>
      <c r="F201" s="187" t="s">
        <v>211</v>
      </c>
      <c r="G201" s="38">
        <f>VLOOKUP(B201,'MEMORIA DE CALCULO'!B:K,10,0)</f>
        <v>450</v>
      </c>
      <c r="H201" s="189">
        <v>25.37</v>
      </c>
      <c r="I201" s="38">
        <f t="shared" si="73"/>
        <v>32.53</v>
      </c>
      <c r="J201" s="168">
        <f t="shared" si="79"/>
        <v>14638.5</v>
      </c>
    </row>
    <row r="202" spans="2:10" s="126" customFormat="1" ht="12.75" customHeight="1">
      <c r="B202" s="167" t="s">
        <v>392</v>
      </c>
      <c r="C202" s="187">
        <v>150836</v>
      </c>
      <c r="D202" s="188" t="s">
        <v>604</v>
      </c>
      <c r="E202" s="187" t="s">
        <v>80</v>
      </c>
      <c r="F202" s="187" t="s">
        <v>77</v>
      </c>
      <c r="G202" s="38">
        <f>VLOOKUP(B202,'MEMORIA DE CALCULO'!B:K,10,0)</f>
        <v>120</v>
      </c>
      <c r="H202" s="189">
        <v>106.25</v>
      </c>
      <c r="I202" s="38">
        <f t="shared" si="73"/>
        <v>136.25</v>
      </c>
      <c r="J202" s="168">
        <f t="shared" ref="J202" si="80">ROUND(G202*I202,2)</f>
        <v>16350</v>
      </c>
    </row>
    <row r="203" spans="2:10" ht="63.75">
      <c r="B203" s="167" t="s">
        <v>393</v>
      </c>
      <c r="C203" s="187">
        <v>150884</v>
      </c>
      <c r="D203" s="188" t="s">
        <v>614</v>
      </c>
      <c r="E203" s="187" t="s">
        <v>80</v>
      </c>
      <c r="F203" s="187" t="s">
        <v>77</v>
      </c>
      <c r="G203" s="38">
        <f>VLOOKUP(B203,'MEMORIA DE CALCULO'!B:K,10,0)</f>
        <v>60</v>
      </c>
      <c r="H203" s="189">
        <v>47.87</v>
      </c>
      <c r="I203" s="38">
        <f t="shared" si="73"/>
        <v>61.39</v>
      </c>
      <c r="J203" s="168">
        <f t="shared" ref="J203:J210" si="81">ROUND(G203*I203,2)</f>
        <v>3683.4</v>
      </c>
    </row>
    <row r="204" spans="2:10" ht="25.5">
      <c r="B204" s="167" t="s">
        <v>394</v>
      </c>
      <c r="C204" s="187">
        <v>150866</v>
      </c>
      <c r="D204" s="188" t="s">
        <v>605</v>
      </c>
      <c r="E204" s="187" t="s">
        <v>80</v>
      </c>
      <c r="F204" s="187" t="s">
        <v>77</v>
      </c>
      <c r="G204" s="38">
        <f>VLOOKUP(B204,'MEMORIA DE CALCULO'!B:K,10,0)</f>
        <v>64</v>
      </c>
      <c r="H204" s="189">
        <v>12.38</v>
      </c>
      <c r="I204" s="38">
        <f t="shared" si="73"/>
        <v>15.88</v>
      </c>
      <c r="J204" s="168">
        <f t="shared" si="81"/>
        <v>1016.32</v>
      </c>
    </row>
    <row r="205" spans="2:10" ht="25.5">
      <c r="B205" s="167" t="s">
        <v>395</v>
      </c>
      <c r="C205" s="187">
        <v>150870</v>
      </c>
      <c r="D205" s="188" t="s">
        <v>606</v>
      </c>
      <c r="E205" s="187" t="s">
        <v>80</v>
      </c>
      <c r="F205" s="187" t="s">
        <v>77</v>
      </c>
      <c r="G205" s="38">
        <f>VLOOKUP(B205,'MEMORIA DE CALCULO'!B:K,10,0)</f>
        <v>2</v>
      </c>
      <c r="H205" s="189">
        <v>104.37</v>
      </c>
      <c r="I205" s="38">
        <f t="shared" si="73"/>
        <v>133.84</v>
      </c>
      <c r="J205" s="168">
        <f t="shared" si="81"/>
        <v>267.68</v>
      </c>
    </row>
    <row r="206" spans="2:10" ht="25.5">
      <c r="B206" s="167" t="s">
        <v>609</v>
      </c>
      <c r="C206" s="187">
        <v>150875</v>
      </c>
      <c r="D206" s="188" t="s">
        <v>607</v>
      </c>
      <c r="E206" s="187" t="s">
        <v>80</v>
      </c>
      <c r="F206" s="187" t="s">
        <v>77</v>
      </c>
      <c r="G206" s="38">
        <f>VLOOKUP(B206,'MEMORIA DE CALCULO'!B:K,10,0)</f>
        <v>4</v>
      </c>
      <c r="H206" s="189">
        <v>86.18</v>
      </c>
      <c r="I206" s="38">
        <f t="shared" si="73"/>
        <v>110.51</v>
      </c>
      <c r="J206" s="168">
        <f t="shared" si="81"/>
        <v>442.04</v>
      </c>
    </row>
    <row r="207" spans="2:10" s="126" customFormat="1" ht="12.75" customHeight="1">
      <c r="B207" s="167" t="s">
        <v>610</v>
      </c>
      <c r="C207" s="187">
        <v>150628</v>
      </c>
      <c r="D207" s="188" t="s">
        <v>91</v>
      </c>
      <c r="E207" s="187" t="s">
        <v>80</v>
      </c>
      <c r="F207" s="187" t="s">
        <v>77</v>
      </c>
      <c r="G207" s="38">
        <f>VLOOKUP(B207,'MEMORIA DE CALCULO'!B:K,10,0)</f>
        <v>220</v>
      </c>
      <c r="H207" s="189">
        <v>8.67</v>
      </c>
      <c r="I207" s="38">
        <f t="shared" si="73"/>
        <v>11.12</v>
      </c>
      <c r="J207" s="168">
        <f t="shared" si="81"/>
        <v>2446.4</v>
      </c>
    </row>
    <row r="208" spans="2:10" s="126" customFormat="1" ht="12.75" customHeight="1">
      <c r="B208" s="167" t="s">
        <v>611</v>
      </c>
      <c r="C208" s="187">
        <v>150629</v>
      </c>
      <c r="D208" s="188" t="s">
        <v>608</v>
      </c>
      <c r="E208" s="187" t="s">
        <v>80</v>
      </c>
      <c r="F208" s="187" t="s">
        <v>77</v>
      </c>
      <c r="G208" s="38">
        <f>VLOOKUP(B208,'MEMORIA DE CALCULO'!B:K,10,0)</f>
        <v>40</v>
      </c>
      <c r="H208" s="189">
        <v>13.41</v>
      </c>
      <c r="I208" s="38">
        <f t="shared" si="73"/>
        <v>17.2</v>
      </c>
      <c r="J208" s="168">
        <f t="shared" si="81"/>
        <v>688</v>
      </c>
    </row>
    <row r="209" spans="2:10" ht="38.25">
      <c r="B209" s="167" t="s">
        <v>612</v>
      </c>
      <c r="C209" s="187">
        <v>150615</v>
      </c>
      <c r="D209" s="188" t="s">
        <v>397</v>
      </c>
      <c r="E209" s="187" t="s">
        <v>80</v>
      </c>
      <c r="F209" s="187" t="s">
        <v>77</v>
      </c>
      <c r="G209" s="38">
        <f>VLOOKUP(B209,'MEMORIA DE CALCULO'!B:K,10,0)</f>
        <v>12</v>
      </c>
      <c r="H209" s="189">
        <v>182.94</v>
      </c>
      <c r="I209" s="38">
        <f t="shared" si="73"/>
        <v>234.6</v>
      </c>
      <c r="J209" s="168">
        <f t="shared" ref="J209" si="82">ROUND(G209*I209,2)</f>
        <v>2815.2</v>
      </c>
    </row>
    <row r="210" spans="2:10" s="126" customFormat="1" ht="12.75" customHeight="1">
      <c r="B210" s="167" t="s">
        <v>613</v>
      </c>
      <c r="C210" s="187">
        <v>150636</v>
      </c>
      <c r="D210" s="188" t="s">
        <v>97</v>
      </c>
      <c r="E210" s="187" t="s">
        <v>80</v>
      </c>
      <c r="F210" s="187" t="s">
        <v>77</v>
      </c>
      <c r="G210" s="38">
        <f>VLOOKUP(B210,'MEMORIA DE CALCULO'!B:K,10,0)</f>
        <v>261</v>
      </c>
      <c r="H210" s="189">
        <v>11.18</v>
      </c>
      <c r="I210" s="38">
        <f t="shared" si="73"/>
        <v>14.34</v>
      </c>
      <c r="J210" s="168">
        <f t="shared" si="81"/>
        <v>3742.74</v>
      </c>
    </row>
    <row r="211" spans="2:10">
      <c r="B211" s="169" t="s">
        <v>398</v>
      </c>
      <c r="C211" s="316" t="s">
        <v>106</v>
      </c>
      <c r="D211" s="317"/>
      <c r="E211" s="170"/>
      <c r="F211" s="171"/>
      <c r="G211" s="171"/>
      <c r="H211" s="172"/>
      <c r="I211" s="173"/>
      <c r="J211" s="174">
        <f>SUM(J212:J219)</f>
        <v>211501.5</v>
      </c>
    </row>
    <row r="212" spans="2:10" ht="25.5">
      <c r="B212" s="167" t="s">
        <v>399</v>
      </c>
      <c r="C212" s="187">
        <v>151401</v>
      </c>
      <c r="D212" s="188" t="s">
        <v>615</v>
      </c>
      <c r="E212" s="187" t="s">
        <v>80</v>
      </c>
      <c r="F212" s="187" t="s">
        <v>407</v>
      </c>
      <c r="G212" s="38">
        <f>VLOOKUP(B212,'MEMORIA DE CALCULO'!B:K,10,0)</f>
        <v>1100</v>
      </c>
      <c r="H212" s="189">
        <v>5.62</v>
      </c>
      <c r="I212" s="38">
        <f t="shared" si="73"/>
        <v>7.21</v>
      </c>
      <c r="J212" s="168">
        <f t="shared" ref="J212:J219" si="83">ROUND(G212*I212,2)</f>
        <v>7931</v>
      </c>
    </row>
    <row r="213" spans="2:10" ht="25.5">
      <c r="B213" s="167" t="s">
        <v>400</v>
      </c>
      <c r="C213" s="187">
        <v>151402</v>
      </c>
      <c r="D213" s="188" t="s">
        <v>213</v>
      </c>
      <c r="E213" s="187" t="s">
        <v>80</v>
      </c>
      <c r="F213" s="187" t="s">
        <v>27</v>
      </c>
      <c r="G213" s="38">
        <f>VLOOKUP(B213,'MEMORIA DE CALCULO'!B:K,10,0)</f>
        <v>3600</v>
      </c>
      <c r="H213" s="189">
        <v>7.17</v>
      </c>
      <c r="I213" s="38">
        <f t="shared" si="73"/>
        <v>9.19</v>
      </c>
      <c r="J213" s="168">
        <f t="shared" si="83"/>
        <v>33084</v>
      </c>
    </row>
    <row r="214" spans="2:10" ht="25.5">
      <c r="B214" s="167" t="s">
        <v>401</v>
      </c>
      <c r="C214" s="187">
        <v>151403</v>
      </c>
      <c r="D214" s="188" t="s">
        <v>214</v>
      </c>
      <c r="E214" s="187" t="s">
        <v>80</v>
      </c>
      <c r="F214" s="187" t="s">
        <v>27</v>
      </c>
      <c r="G214" s="38">
        <f>VLOOKUP(B214,'MEMORIA DE CALCULO'!B:K,10,0)</f>
        <v>1900</v>
      </c>
      <c r="H214" s="189">
        <v>9.32</v>
      </c>
      <c r="I214" s="38">
        <f t="shared" si="73"/>
        <v>11.95</v>
      </c>
      <c r="J214" s="168">
        <f t="shared" si="83"/>
        <v>22705</v>
      </c>
    </row>
    <row r="215" spans="2:10" ht="25.5">
      <c r="B215" s="167" t="s">
        <v>402</v>
      </c>
      <c r="C215" s="187">
        <v>151406</v>
      </c>
      <c r="D215" s="188" t="s">
        <v>616</v>
      </c>
      <c r="E215" s="187" t="s">
        <v>80</v>
      </c>
      <c r="F215" s="187" t="s">
        <v>27</v>
      </c>
      <c r="G215" s="38">
        <f>VLOOKUP(B215,'MEMORIA DE CALCULO'!B:K,10,0)</f>
        <v>150</v>
      </c>
      <c r="H215" s="189">
        <v>25.87</v>
      </c>
      <c r="I215" s="38">
        <f t="shared" si="73"/>
        <v>33.17</v>
      </c>
      <c r="J215" s="168">
        <f t="shared" si="83"/>
        <v>4975.5</v>
      </c>
    </row>
    <row r="216" spans="2:10" s="126" customFormat="1" ht="31.5" customHeight="1">
      <c r="B216" s="167" t="s">
        <v>403</v>
      </c>
      <c r="C216" s="187">
        <v>151422</v>
      </c>
      <c r="D216" s="188" t="s">
        <v>408</v>
      </c>
      <c r="E216" s="187" t="s">
        <v>80</v>
      </c>
      <c r="F216" s="187" t="s">
        <v>27</v>
      </c>
      <c r="G216" s="38">
        <f>VLOOKUP(B216,'MEMORIA DE CALCULO'!B:K,10,0)</f>
        <v>840</v>
      </c>
      <c r="H216" s="189">
        <v>38.35</v>
      </c>
      <c r="I216" s="38">
        <f t="shared" si="73"/>
        <v>49.18</v>
      </c>
      <c r="J216" s="168">
        <f t="shared" si="83"/>
        <v>41311.199999999997</v>
      </c>
    </row>
    <row r="217" spans="2:10" s="126" customFormat="1" ht="31.5" customHeight="1">
      <c r="B217" s="167" t="s">
        <v>404</v>
      </c>
      <c r="C217" s="187">
        <v>151425</v>
      </c>
      <c r="D217" s="188" t="s">
        <v>409</v>
      </c>
      <c r="E217" s="187" t="s">
        <v>80</v>
      </c>
      <c r="F217" s="187" t="s">
        <v>27</v>
      </c>
      <c r="G217" s="38">
        <f>VLOOKUP(B217,'MEMORIA DE CALCULO'!B:K,10,0)</f>
        <v>100</v>
      </c>
      <c r="H217" s="189">
        <v>69.88</v>
      </c>
      <c r="I217" s="38">
        <f t="shared" si="73"/>
        <v>89.61</v>
      </c>
      <c r="J217" s="168">
        <f t="shared" ref="J217" si="84">ROUND(G217*I217,2)</f>
        <v>8961</v>
      </c>
    </row>
    <row r="218" spans="2:10" ht="25.5">
      <c r="B218" s="167" t="s">
        <v>405</v>
      </c>
      <c r="C218" s="187">
        <v>151426</v>
      </c>
      <c r="D218" s="195" t="s">
        <v>410</v>
      </c>
      <c r="E218" s="187" t="s">
        <v>80</v>
      </c>
      <c r="F218" s="187" t="s">
        <v>211</v>
      </c>
      <c r="G218" s="38">
        <f>VLOOKUP(B218,'MEMORIA DE CALCULO'!B:K,10,0)</f>
        <v>430</v>
      </c>
      <c r="H218" s="189">
        <v>131.99</v>
      </c>
      <c r="I218" s="38">
        <f t="shared" si="73"/>
        <v>169.26</v>
      </c>
      <c r="J218" s="168">
        <f t="shared" si="83"/>
        <v>72781.8</v>
      </c>
    </row>
    <row r="219" spans="2:10" ht="25.5">
      <c r="B219" s="167" t="s">
        <v>406</v>
      </c>
      <c r="C219" s="187">
        <v>151431</v>
      </c>
      <c r="D219" s="195" t="s">
        <v>411</v>
      </c>
      <c r="E219" s="187" t="s">
        <v>80</v>
      </c>
      <c r="F219" s="187" t="s">
        <v>211</v>
      </c>
      <c r="G219" s="38">
        <f>VLOOKUP(B219,'MEMORIA DE CALCULO'!B:K,10,0)</f>
        <v>60</v>
      </c>
      <c r="H219" s="189">
        <v>256.70999999999998</v>
      </c>
      <c r="I219" s="38">
        <f t="shared" si="73"/>
        <v>329.2</v>
      </c>
      <c r="J219" s="168">
        <f t="shared" si="83"/>
        <v>19752</v>
      </c>
    </row>
    <row r="220" spans="2:10">
      <c r="B220" s="169" t="s">
        <v>413</v>
      </c>
      <c r="C220" s="316" t="s">
        <v>415</v>
      </c>
      <c r="D220" s="317"/>
      <c r="E220" s="170"/>
      <c r="F220" s="171"/>
      <c r="G220" s="171"/>
      <c r="H220" s="172"/>
      <c r="I220" s="173"/>
      <c r="J220" s="174">
        <f>SUM(J221:J222)</f>
        <v>10247.1</v>
      </c>
    </row>
    <row r="221" spans="2:10">
      <c r="B221" s="167" t="s">
        <v>412</v>
      </c>
      <c r="C221" s="187">
        <v>180204</v>
      </c>
      <c r="D221" s="188" t="s">
        <v>421</v>
      </c>
      <c r="E221" s="187" t="s">
        <v>80</v>
      </c>
      <c r="F221" s="187" t="s">
        <v>77</v>
      </c>
      <c r="G221" s="38">
        <f>VLOOKUP(B221,'MEMORIA DE CALCULO'!B:K,10,0)</f>
        <v>40</v>
      </c>
      <c r="H221" s="189">
        <v>34.299999999999997</v>
      </c>
      <c r="I221" s="38">
        <f t="shared" si="73"/>
        <v>43.99</v>
      </c>
      <c r="J221" s="168">
        <f t="shared" ref="J221:J222" si="85">ROUND(G221*I221,2)</f>
        <v>1759.6</v>
      </c>
    </row>
    <row r="222" spans="2:10" ht="25.5">
      <c r="B222" s="167" t="s">
        <v>420</v>
      </c>
      <c r="C222" s="187">
        <v>180201</v>
      </c>
      <c r="D222" s="188" t="s">
        <v>422</v>
      </c>
      <c r="E222" s="187" t="s">
        <v>80</v>
      </c>
      <c r="F222" s="187" t="s">
        <v>77</v>
      </c>
      <c r="G222" s="38">
        <f>VLOOKUP(B222,'MEMORIA DE CALCULO'!B:K,10,0)</f>
        <v>175</v>
      </c>
      <c r="H222" s="189">
        <v>37.82</v>
      </c>
      <c r="I222" s="38">
        <f t="shared" si="73"/>
        <v>48.5</v>
      </c>
      <c r="J222" s="168">
        <f t="shared" si="85"/>
        <v>8487.5</v>
      </c>
    </row>
    <row r="223" spans="2:10">
      <c r="B223" s="169" t="s">
        <v>526</v>
      </c>
      <c r="C223" s="316" t="s">
        <v>107</v>
      </c>
      <c r="D223" s="317"/>
      <c r="E223" s="170"/>
      <c r="F223" s="171"/>
      <c r="G223" s="171"/>
      <c r="H223" s="172"/>
      <c r="I223" s="173"/>
      <c r="J223" s="174">
        <f>SUM(J224:J231)</f>
        <v>114363.22000000002</v>
      </c>
    </row>
    <row r="224" spans="2:10" ht="51">
      <c r="B224" s="167" t="s">
        <v>414</v>
      </c>
      <c r="C224" s="187">
        <v>181002</v>
      </c>
      <c r="D224" s="188" t="s">
        <v>665</v>
      </c>
      <c r="E224" s="187" t="s">
        <v>80</v>
      </c>
      <c r="F224" s="187" t="s">
        <v>77</v>
      </c>
      <c r="G224" s="38">
        <f>VLOOKUP(B224,'MEMORIA DE CALCULO'!B:K,10,0)</f>
        <v>250</v>
      </c>
      <c r="H224" s="189">
        <v>189.45</v>
      </c>
      <c r="I224" s="38">
        <f t="shared" si="73"/>
        <v>242.94</v>
      </c>
      <c r="J224" s="168">
        <f t="shared" ref="J224:J231" si="86">ROUND(G224*I224,2)</f>
        <v>60735</v>
      </c>
    </row>
    <row r="225" spans="2:10" s="126" customFormat="1" ht="60.75" customHeight="1">
      <c r="B225" s="167" t="s">
        <v>416</v>
      </c>
      <c r="C225" s="187">
        <v>181001</v>
      </c>
      <c r="D225" s="188" t="s">
        <v>656</v>
      </c>
      <c r="E225" s="187" t="s">
        <v>80</v>
      </c>
      <c r="F225" s="187" t="s">
        <v>77</v>
      </c>
      <c r="G225" s="38">
        <f>VLOOKUP(B225,'MEMORIA DE CALCULO'!B:K,10,0)</f>
        <v>8</v>
      </c>
      <c r="H225" s="189">
        <v>144.12</v>
      </c>
      <c r="I225" s="38">
        <f t="shared" si="73"/>
        <v>184.81</v>
      </c>
      <c r="J225" s="168">
        <f t="shared" si="86"/>
        <v>1478.48</v>
      </c>
    </row>
    <row r="226" spans="2:10">
      <c r="B226" s="167" t="s">
        <v>417</v>
      </c>
      <c r="C226" s="187" t="s">
        <v>694</v>
      </c>
      <c r="D226" s="188" t="s">
        <v>427</v>
      </c>
      <c r="E226" s="187" t="s">
        <v>532</v>
      </c>
      <c r="F226" s="187" t="s">
        <v>77</v>
      </c>
      <c r="G226" s="38">
        <f>VLOOKUP(B226,'MEMORIA DE CALCULO'!B:K,10,0)</f>
        <v>10</v>
      </c>
      <c r="H226" s="189">
        <f>COTAÇÕES!G16</f>
        <v>492.01</v>
      </c>
      <c r="I226" s="38">
        <f>ROUND($H226*(1+$H$14),2)</f>
        <v>568.62</v>
      </c>
      <c r="J226" s="168">
        <f t="shared" ref="J226:J227" si="87">ROUND(G226*I226,2)</f>
        <v>5686.2</v>
      </c>
    </row>
    <row r="227" spans="2:10" s="126" customFormat="1" ht="31.5" customHeight="1">
      <c r="B227" s="167" t="s">
        <v>418</v>
      </c>
      <c r="C227" s="187" t="s">
        <v>531</v>
      </c>
      <c r="D227" s="188" t="s">
        <v>480</v>
      </c>
      <c r="E227" s="187" t="s">
        <v>532</v>
      </c>
      <c r="F227" s="187" t="s">
        <v>212</v>
      </c>
      <c r="G227" s="38">
        <f>VLOOKUP(B227,'MEMORIA DE CALCULO'!B:K,10,0)</f>
        <v>40</v>
      </c>
      <c r="H227" s="189">
        <f>COTAÇÕES!G24</f>
        <v>187.97</v>
      </c>
      <c r="I227" s="38">
        <f>ROUND($H227*(1+$H$14),2)</f>
        <v>217.24</v>
      </c>
      <c r="J227" s="168">
        <f t="shared" si="87"/>
        <v>8689.6</v>
      </c>
    </row>
    <row r="228" spans="2:10" ht="38.25">
      <c r="B228" s="167" t="s">
        <v>419</v>
      </c>
      <c r="C228" s="187">
        <v>100619</v>
      </c>
      <c r="D228" s="188" t="s">
        <v>666</v>
      </c>
      <c r="E228" s="187" t="s">
        <v>172</v>
      </c>
      <c r="F228" s="187" t="s">
        <v>212</v>
      </c>
      <c r="G228" s="38">
        <f>VLOOKUP(B228,'MEMORIA DE CALCULO'!B:K,10,0)</f>
        <v>40</v>
      </c>
      <c r="H228" s="189">
        <v>584.15</v>
      </c>
      <c r="I228" s="38">
        <f t="shared" si="73"/>
        <v>749.09</v>
      </c>
      <c r="J228" s="168">
        <f t="shared" si="86"/>
        <v>29963.599999999999</v>
      </c>
    </row>
    <row r="229" spans="2:10" s="126" customFormat="1" ht="31.5" customHeight="1">
      <c r="B229" s="167" t="s">
        <v>423</v>
      </c>
      <c r="C229" s="187">
        <v>97596</v>
      </c>
      <c r="D229" s="188" t="s">
        <v>475</v>
      </c>
      <c r="E229" s="187" t="s">
        <v>172</v>
      </c>
      <c r="F229" s="187" t="s">
        <v>77</v>
      </c>
      <c r="G229" s="38">
        <f>VLOOKUP(B229,'MEMORIA DE CALCULO'!B:K,10,0)</f>
        <v>4</v>
      </c>
      <c r="H229" s="189">
        <v>70.73</v>
      </c>
      <c r="I229" s="38">
        <f t="shared" si="73"/>
        <v>90.7</v>
      </c>
      <c r="J229" s="168">
        <f t="shared" ref="J229" si="88">ROUND(G229*I229,2)</f>
        <v>362.8</v>
      </c>
    </row>
    <row r="230" spans="2:10">
      <c r="B230" s="167" t="s">
        <v>424</v>
      </c>
      <c r="C230" s="187" t="s">
        <v>661</v>
      </c>
      <c r="D230" s="195" t="s">
        <v>738</v>
      </c>
      <c r="E230" s="187" t="s">
        <v>426</v>
      </c>
      <c r="F230" s="187" t="s">
        <v>77</v>
      </c>
      <c r="G230" s="38">
        <f>VLOOKUP(B230,'MEMORIA DE CALCULO'!B:K,10,0)</f>
        <v>2</v>
      </c>
      <c r="H230" s="189">
        <f>COMPOSICOES!G81</f>
        <v>288.34000000000003</v>
      </c>
      <c r="I230" s="38">
        <f>ROUND($H230*(1+$G$14),2)</f>
        <v>369.76</v>
      </c>
      <c r="J230" s="168">
        <f t="shared" si="86"/>
        <v>739.52</v>
      </c>
    </row>
    <row r="231" spans="2:10" s="126" customFormat="1" ht="31.5" customHeight="1">
      <c r="B231" s="167" t="s">
        <v>425</v>
      </c>
      <c r="C231" s="187">
        <v>160613</v>
      </c>
      <c r="D231" s="188" t="s">
        <v>428</v>
      </c>
      <c r="E231" s="187" t="s">
        <v>80</v>
      </c>
      <c r="F231" s="187" t="s">
        <v>212</v>
      </c>
      <c r="G231" s="38">
        <f>VLOOKUP(B231,'MEMORIA DE CALCULO'!B:K,10,0)</f>
        <v>22</v>
      </c>
      <c r="H231" s="189">
        <v>237.77</v>
      </c>
      <c r="I231" s="38">
        <f t="shared" si="73"/>
        <v>304.91000000000003</v>
      </c>
      <c r="J231" s="168">
        <f t="shared" si="86"/>
        <v>6708.02</v>
      </c>
    </row>
    <row r="232" spans="2:10" s="126" customFormat="1" ht="12.75" customHeight="1">
      <c r="B232" s="161" t="s">
        <v>617</v>
      </c>
      <c r="C232" s="318" t="s">
        <v>619</v>
      </c>
      <c r="D232" s="319"/>
      <c r="E232" s="265"/>
      <c r="F232" s="163"/>
      <c r="G232" s="163"/>
      <c r="H232" s="163"/>
      <c r="I232" s="165"/>
      <c r="J232" s="166">
        <f>J233+J234</f>
        <v>295582.37</v>
      </c>
    </row>
    <row r="233" spans="2:10">
      <c r="B233" s="90" t="s">
        <v>618</v>
      </c>
      <c r="C233" s="187" t="s">
        <v>543</v>
      </c>
      <c r="D233" s="188" t="s">
        <v>729</v>
      </c>
      <c r="E233" s="187" t="s">
        <v>731</v>
      </c>
      <c r="F233" s="187" t="s">
        <v>77</v>
      </c>
      <c r="G233" s="38">
        <f>VLOOKUP(B233,'MEMORIA DE CALCULO'!B:K,10,0)</f>
        <v>1</v>
      </c>
      <c r="H233" s="189">
        <f>COTAÇÕES!G32</f>
        <v>225663.18</v>
      </c>
      <c r="I233" s="189">
        <f>ROUND($H233*(1+$H$14),2)</f>
        <v>260798.94</v>
      </c>
      <c r="J233" s="38">
        <f>ROUND(G233*I233,2)</f>
        <v>260798.94</v>
      </c>
    </row>
    <row r="234" spans="2:10">
      <c r="B234" s="90" t="s">
        <v>728</v>
      </c>
      <c r="C234" s="187" t="s">
        <v>660</v>
      </c>
      <c r="D234" s="188" t="s">
        <v>730</v>
      </c>
      <c r="E234" s="187" t="s">
        <v>426</v>
      </c>
      <c r="F234" s="187" t="s">
        <v>77</v>
      </c>
      <c r="G234" s="38">
        <f>VLOOKUP(B234,'MEMORIA DE CALCULO'!B:K,10,0)</f>
        <v>1</v>
      </c>
      <c r="H234" s="189">
        <f>COMPOSICOES!G115</f>
        <v>27124.5</v>
      </c>
      <c r="I234" s="189">
        <f>ROUND($H234*(1+$G$14),2)</f>
        <v>34783.43</v>
      </c>
      <c r="J234" s="38">
        <f>ROUND(G234*I234,2)</f>
        <v>34783.43</v>
      </c>
    </row>
    <row r="235" spans="2:10" s="126" customFormat="1" ht="12.75" customHeight="1">
      <c r="B235" s="124">
        <v>18</v>
      </c>
      <c r="C235" s="314" t="s">
        <v>291</v>
      </c>
      <c r="D235" s="315"/>
      <c r="E235" s="128"/>
      <c r="F235" s="129"/>
      <c r="G235" s="129"/>
      <c r="H235" s="129"/>
      <c r="I235" s="131"/>
      <c r="J235" s="125">
        <f>SUM(J236:J246)</f>
        <v>251795.27000000002</v>
      </c>
    </row>
    <row r="236" spans="2:10" ht="51">
      <c r="B236" s="90" t="s">
        <v>338</v>
      </c>
      <c r="C236" s="187">
        <v>180603</v>
      </c>
      <c r="D236" s="188" t="s">
        <v>336</v>
      </c>
      <c r="E236" s="187" t="s">
        <v>80</v>
      </c>
      <c r="F236" s="187" t="s">
        <v>77</v>
      </c>
      <c r="G236" s="38">
        <f>VLOOKUP(B236,'MEMORIA DE CALCULO'!B:K,10,0)</f>
        <v>2</v>
      </c>
      <c r="H236" s="189">
        <v>2368.13</v>
      </c>
      <c r="I236" s="38">
        <f>ROUND($H236*(1+$H$14),2)</f>
        <v>2736.85</v>
      </c>
      <c r="J236" s="38">
        <f>ROUND(G236*I236,2)</f>
        <v>5473.7</v>
      </c>
    </row>
    <row r="237" spans="2:10" ht="51">
      <c r="B237" s="90" t="s">
        <v>339</v>
      </c>
      <c r="C237" s="187">
        <v>180604</v>
      </c>
      <c r="D237" s="188" t="s">
        <v>641</v>
      </c>
      <c r="E237" s="187" t="s">
        <v>80</v>
      </c>
      <c r="F237" s="187" t="s">
        <v>77</v>
      </c>
      <c r="G237" s="38">
        <f>VLOOKUP(B237,'MEMORIA DE CALCULO'!B:K,10,0)</f>
        <v>3</v>
      </c>
      <c r="H237" s="189">
        <v>3504.09</v>
      </c>
      <c r="I237" s="38">
        <f t="shared" ref="I237:I240" si="89">ROUND($H237*(1+$H$14),2)</f>
        <v>4049.68</v>
      </c>
      <c r="J237" s="38">
        <f>ROUND(G237*I237,2)</f>
        <v>12149.04</v>
      </c>
    </row>
    <row r="238" spans="2:10" ht="51">
      <c r="B238" s="90" t="s">
        <v>340</v>
      </c>
      <c r="C238" s="187">
        <v>180606</v>
      </c>
      <c r="D238" s="188" t="s">
        <v>337</v>
      </c>
      <c r="E238" s="187" t="s">
        <v>80</v>
      </c>
      <c r="F238" s="187" t="s">
        <v>77</v>
      </c>
      <c r="G238" s="38">
        <f>VLOOKUP(B238,'MEMORIA DE CALCULO'!B:K,10,0)</f>
        <v>2</v>
      </c>
      <c r="H238" s="189">
        <v>4458.51</v>
      </c>
      <c r="I238" s="38">
        <f t="shared" si="89"/>
        <v>5152.7</v>
      </c>
      <c r="J238" s="38">
        <f t="shared" ref="J238:J265" si="90">ROUND(G238*I238,2)</f>
        <v>10305.4</v>
      </c>
    </row>
    <row r="239" spans="2:10" ht="51">
      <c r="B239" s="90" t="s">
        <v>621</v>
      </c>
      <c r="C239" s="187">
        <v>180608</v>
      </c>
      <c r="D239" s="188" t="s">
        <v>667</v>
      </c>
      <c r="E239" s="187" t="s">
        <v>80</v>
      </c>
      <c r="F239" s="187" t="s">
        <v>77</v>
      </c>
      <c r="G239" s="38">
        <f>VLOOKUP(B239,'MEMORIA DE CALCULO'!B:K,10,0)</f>
        <v>8</v>
      </c>
      <c r="H239" s="189">
        <v>9264.68</v>
      </c>
      <c r="I239" s="38">
        <f t="shared" si="89"/>
        <v>10707.19</v>
      </c>
      <c r="J239" s="38">
        <f>ROUND(G239*I239,2)</f>
        <v>85657.52</v>
      </c>
    </row>
    <row r="240" spans="2:10" ht="63.75">
      <c r="B240" s="90" t="s">
        <v>622</v>
      </c>
      <c r="C240" s="187">
        <v>180609</v>
      </c>
      <c r="D240" s="188" t="s">
        <v>668</v>
      </c>
      <c r="E240" s="187" t="s">
        <v>80</v>
      </c>
      <c r="F240" s="187" t="s">
        <v>77</v>
      </c>
      <c r="G240" s="38">
        <f>VLOOKUP(B240,'MEMORIA DE CALCULO'!B:K,10,0)</f>
        <v>7</v>
      </c>
      <c r="H240" s="189">
        <v>12240.11</v>
      </c>
      <c r="I240" s="38">
        <f t="shared" si="89"/>
        <v>14145.9</v>
      </c>
      <c r="J240" s="38">
        <f>ROUND(G240*I240,2)</f>
        <v>99021.3</v>
      </c>
    </row>
    <row r="241" spans="2:10" ht="51">
      <c r="B241" s="90" t="s">
        <v>623</v>
      </c>
      <c r="C241" s="187">
        <v>161016</v>
      </c>
      <c r="D241" s="188" t="s">
        <v>642</v>
      </c>
      <c r="E241" s="187" t="s">
        <v>80</v>
      </c>
      <c r="F241" s="187" t="s">
        <v>27</v>
      </c>
      <c r="G241" s="38">
        <f>VLOOKUP(B241,'MEMORIA DE CALCULO'!B:K,10,0)</f>
        <v>89.69</v>
      </c>
      <c r="H241" s="189">
        <v>106.95</v>
      </c>
      <c r="I241" s="38">
        <f t="shared" ref="I241:I246" si="91">ROUND($H241*(1+$G$14),2)</f>
        <v>137.15</v>
      </c>
      <c r="J241" s="38">
        <f t="shared" ref="J241" si="92">ROUND(G241*I241,2)</f>
        <v>12300.98</v>
      </c>
    </row>
    <row r="242" spans="2:10">
      <c r="B242" s="90" t="s">
        <v>624</v>
      </c>
      <c r="C242" s="187">
        <v>161003</v>
      </c>
      <c r="D242" s="188" t="s">
        <v>643</v>
      </c>
      <c r="E242" s="187" t="s">
        <v>80</v>
      </c>
      <c r="F242" s="187" t="s">
        <v>27</v>
      </c>
      <c r="G242" s="38">
        <f>VLOOKUP(B242,'MEMORIA DE CALCULO'!B:K,10,0)</f>
        <v>60</v>
      </c>
      <c r="H242" s="189">
        <v>36.75</v>
      </c>
      <c r="I242" s="38">
        <f t="shared" si="91"/>
        <v>47.13</v>
      </c>
      <c r="J242" s="38">
        <f>ROUND(G242*I242,2)</f>
        <v>2827.8</v>
      </c>
    </row>
    <row r="243" spans="2:10">
      <c r="B243" s="90" t="s">
        <v>625</v>
      </c>
      <c r="C243" s="187">
        <v>161001</v>
      </c>
      <c r="D243" s="188" t="s">
        <v>644</v>
      </c>
      <c r="E243" s="187" t="s">
        <v>80</v>
      </c>
      <c r="F243" s="187" t="s">
        <v>27</v>
      </c>
      <c r="G243" s="38">
        <f>VLOOKUP(B243,'MEMORIA DE CALCULO'!B:K,10,0)</f>
        <v>62</v>
      </c>
      <c r="H243" s="189">
        <v>21.77</v>
      </c>
      <c r="I243" s="38">
        <f t="shared" si="91"/>
        <v>27.92</v>
      </c>
      <c r="J243" s="38">
        <f>ROUND(G243*I243,2)</f>
        <v>1731.04</v>
      </c>
    </row>
    <row r="244" spans="2:10">
      <c r="B244" s="90" t="s">
        <v>626</v>
      </c>
      <c r="C244" s="187">
        <v>161002</v>
      </c>
      <c r="D244" s="188" t="s">
        <v>645</v>
      </c>
      <c r="E244" s="187" t="s">
        <v>80</v>
      </c>
      <c r="F244" s="187" t="s">
        <v>27</v>
      </c>
      <c r="G244" s="38">
        <f>VLOOKUP(B244,'MEMORIA DE CALCULO'!B:K,10,0)</f>
        <v>130</v>
      </c>
      <c r="H244" s="189">
        <v>29.71</v>
      </c>
      <c r="I244" s="38">
        <f t="shared" si="91"/>
        <v>38.1</v>
      </c>
      <c r="J244" s="38">
        <f t="shared" ref="J244" si="93">ROUND(G244*I244,2)</f>
        <v>4953</v>
      </c>
    </row>
    <row r="245" spans="2:10">
      <c r="B245" s="90" t="s">
        <v>627</v>
      </c>
      <c r="C245" s="187">
        <v>161004</v>
      </c>
      <c r="D245" s="188" t="s">
        <v>646</v>
      </c>
      <c r="E245" s="187" t="s">
        <v>80</v>
      </c>
      <c r="F245" s="187" t="s">
        <v>27</v>
      </c>
      <c r="G245" s="38">
        <f>VLOOKUP(B245,'MEMORIA DE CALCULO'!B:K,10,0)</f>
        <v>141</v>
      </c>
      <c r="H245" s="189">
        <v>48.73</v>
      </c>
      <c r="I245" s="38">
        <f t="shared" si="91"/>
        <v>62.49</v>
      </c>
      <c r="J245" s="38">
        <f>ROUND(G245*I245,2)</f>
        <v>8811.09</v>
      </c>
    </row>
    <row r="246" spans="2:10">
      <c r="B246" s="90" t="s">
        <v>628</v>
      </c>
      <c r="C246" s="187">
        <v>161015</v>
      </c>
      <c r="D246" s="188" t="s">
        <v>647</v>
      </c>
      <c r="E246" s="187" t="s">
        <v>80</v>
      </c>
      <c r="F246" s="187" t="s">
        <v>23</v>
      </c>
      <c r="G246" s="38">
        <f>VLOOKUP(B246,'MEMORIA DE CALCULO'!B:K,10,0)</f>
        <v>72</v>
      </c>
      <c r="H246" s="189">
        <v>92.76</v>
      </c>
      <c r="I246" s="38">
        <f t="shared" si="91"/>
        <v>118.95</v>
      </c>
      <c r="J246" s="38">
        <f>ROUND(G246*I246,2)</f>
        <v>8564.4</v>
      </c>
    </row>
    <row r="247" spans="2:10" s="126" customFormat="1" ht="12.75" customHeight="1">
      <c r="B247" s="124">
        <v>19</v>
      </c>
      <c r="C247" s="314" t="s">
        <v>293</v>
      </c>
      <c r="D247" s="315"/>
      <c r="E247" s="128"/>
      <c r="F247" s="129"/>
      <c r="G247" s="129"/>
      <c r="H247" s="129"/>
      <c r="I247" s="131"/>
      <c r="J247" s="125">
        <f>SUM(J248:J260)</f>
        <v>45178.420000000013</v>
      </c>
    </row>
    <row r="248" spans="2:10">
      <c r="B248" s="90" t="s">
        <v>308</v>
      </c>
      <c r="C248" s="187">
        <v>150628</v>
      </c>
      <c r="D248" s="188" t="s">
        <v>295</v>
      </c>
      <c r="E248" s="187" t="s">
        <v>80</v>
      </c>
      <c r="F248" s="187" t="s">
        <v>77</v>
      </c>
      <c r="G248" s="38">
        <f>VLOOKUP(B248,'MEMORIA DE CALCULO'!B:K,10,0)</f>
        <v>20</v>
      </c>
      <c r="H248" s="189">
        <v>8.67</v>
      </c>
      <c r="I248" s="38">
        <f t="shared" ref="I248:I260" si="94">ROUND($H248*(1+$G$14),2)</f>
        <v>11.12</v>
      </c>
      <c r="J248" s="38">
        <f>ROUND(G248*I248,2)</f>
        <v>222.4</v>
      </c>
    </row>
    <row r="249" spans="2:10" ht="25.5">
      <c r="B249" s="90" t="s">
        <v>309</v>
      </c>
      <c r="C249" s="187">
        <v>150632</v>
      </c>
      <c r="D249" s="188" t="s">
        <v>296</v>
      </c>
      <c r="E249" s="187" t="s">
        <v>80</v>
      </c>
      <c r="F249" s="187" t="s">
        <v>297</v>
      </c>
      <c r="G249" s="38">
        <f>VLOOKUP(B249,'MEMORIA DE CALCULO'!B:K,10,0)</f>
        <v>2</v>
      </c>
      <c r="H249" s="189">
        <v>76.650000000000006</v>
      </c>
      <c r="I249" s="38">
        <f t="shared" si="94"/>
        <v>98.29</v>
      </c>
      <c r="J249" s="38">
        <f>ROUND(G249*I249,2)</f>
        <v>196.58</v>
      </c>
    </row>
    <row r="250" spans="2:10">
      <c r="B250" s="90" t="s">
        <v>310</v>
      </c>
      <c r="C250" s="187">
        <v>151133</v>
      </c>
      <c r="D250" s="188" t="s">
        <v>298</v>
      </c>
      <c r="E250" s="187" t="s">
        <v>80</v>
      </c>
      <c r="F250" s="187" t="s">
        <v>27</v>
      </c>
      <c r="G250" s="38">
        <f>VLOOKUP(B250,'MEMORIA DE CALCULO'!B:K,10,0)</f>
        <v>1350</v>
      </c>
      <c r="H250" s="189">
        <v>10.15</v>
      </c>
      <c r="I250" s="38">
        <f t="shared" si="94"/>
        <v>13.02</v>
      </c>
      <c r="J250" s="38">
        <f t="shared" ref="J250:J252" si="95">ROUND(G250*I250,2)</f>
        <v>17577</v>
      </c>
    </row>
    <row r="251" spans="2:10">
      <c r="B251" s="90" t="s">
        <v>311</v>
      </c>
      <c r="C251" s="187">
        <v>160806</v>
      </c>
      <c r="D251" s="188" t="s">
        <v>299</v>
      </c>
      <c r="E251" s="187" t="s">
        <v>80</v>
      </c>
      <c r="F251" s="187" t="s">
        <v>649</v>
      </c>
      <c r="G251" s="38">
        <f>VLOOKUP(B251,'MEMORIA DE CALCULO'!B:K,10,0)</f>
        <v>15</v>
      </c>
      <c r="H251" s="189">
        <v>18.62</v>
      </c>
      <c r="I251" s="38">
        <f t="shared" si="94"/>
        <v>23.88</v>
      </c>
      <c r="J251" s="38">
        <f t="shared" si="95"/>
        <v>358.2</v>
      </c>
    </row>
    <row r="252" spans="2:10">
      <c r="B252" s="90" t="s">
        <v>312</v>
      </c>
      <c r="C252" s="187">
        <v>160120</v>
      </c>
      <c r="D252" s="188" t="s">
        <v>300</v>
      </c>
      <c r="E252" s="187" t="s">
        <v>80</v>
      </c>
      <c r="F252" s="187" t="s">
        <v>212</v>
      </c>
      <c r="G252" s="38">
        <f>VLOOKUP(B252,'MEMORIA DE CALCULO'!B:K,10,0)</f>
        <v>6</v>
      </c>
      <c r="H252" s="189">
        <v>55.56</v>
      </c>
      <c r="I252" s="38">
        <f t="shared" si="94"/>
        <v>71.25</v>
      </c>
      <c r="J252" s="38">
        <f t="shared" si="95"/>
        <v>427.5</v>
      </c>
    </row>
    <row r="253" spans="2:10" ht="38.25">
      <c r="B253" s="90" t="s">
        <v>313</v>
      </c>
      <c r="C253" s="187">
        <v>98297</v>
      </c>
      <c r="D253" s="188" t="s">
        <v>306</v>
      </c>
      <c r="E253" s="187" t="s">
        <v>172</v>
      </c>
      <c r="F253" s="187" t="s">
        <v>27</v>
      </c>
      <c r="G253" s="38">
        <f>VLOOKUP(B253,'MEMORIA DE CALCULO'!B:K,10,0)</f>
        <v>950</v>
      </c>
      <c r="H253" s="189">
        <v>5.33</v>
      </c>
      <c r="I253" s="38">
        <f t="shared" si="94"/>
        <v>6.83</v>
      </c>
      <c r="J253" s="38">
        <f>ROUND(G253*I253,2)</f>
        <v>6488.5</v>
      </c>
    </row>
    <row r="254" spans="2:10">
      <c r="B254" s="90" t="s">
        <v>314</v>
      </c>
      <c r="C254" s="187">
        <v>160115</v>
      </c>
      <c r="D254" s="188" t="s">
        <v>301</v>
      </c>
      <c r="E254" s="187" t="s">
        <v>80</v>
      </c>
      <c r="F254" s="187" t="s">
        <v>27</v>
      </c>
      <c r="G254" s="38">
        <f>VLOOKUP(B254,'MEMORIA DE CALCULO'!B:K,10,0)</f>
        <v>200</v>
      </c>
      <c r="H254" s="189">
        <v>29.38</v>
      </c>
      <c r="I254" s="38">
        <f t="shared" si="94"/>
        <v>37.68</v>
      </c>
      <c r="J254" s="38">
        <f>ROUND(G254*I254,2)</f>
        <v>7536</v>
      </c>
    </row>
    <row r="255" spans="2:10" ht="38.25">
      <c r="B255" s="90" t="s">
        <v>315</v>
      </c>
      <c r="C255" s="187">
        <v>160866</v>
      </c>
      <c r="D255" s="188" t="s">
        <v>302</v>
      </c>
      <c r="E255" s="187" t="s">
        <v>80</v>
      </c>
      <c r="F255" s="187" t="s">
        <v>77</v>
      </c>
      <c r="G255" s="38">
        <f>VLOOKUP(B255,'MEMORIA DE CALCULO'!B:K,10,0)</f>
        <v>1</v>
      </c>
      <c r="H255" s="189">
        <v>2698.41</v>
      </c>
      <c r="I255" s="38">
        <f t="shared" si="94"/>
        <v>3460.34</v>
      </c>
      <c r="J255" s="38">
        <f t="shared" ref="J255:J256" si="96">ROUND(G255*I255,2)</f>
        <v>3460.34</v>
      </c>
    </row>
    <row r="256" spans="2:10">
      <c r="B256" s="90" t="s">
        <v>316</v>
      </c>
      <c r="C256" s="187">
        <v>160845</v>
      </c>
      <c r="D256" s="188" t="s">
        <v>303</v>
      </c>
      <c r="E256" s="187" t="s">
        <v>80</v>
      </c>
      <c r="F256" s="187" t="s">
        <v>77</v>
      </c>
      <c r="G256" s="38">
        <f>VLOOKUP(B256,'MEMORIA DE CALCULO'!B:K,10,0)</f>
        <v>1</v>
      </c>
      <c r="H256" s="189">
        <v>16.38</v>
      </c>
      <c r="I256" s="38">
        <f t="shared" si="94"/>
        <v>21.01</v>
      </c>
      <c r="J256" s="38">
        <f t="shared" si="96"/>
        <v>21.01</v>
      </c>
    </row>
    <row r="257" spans="2:10" ht="25.5">
      <c r="B257" s="90" t="s">
        <v>317</v>
      </c>
      <c r="C257" s="187">
        <v>160864</v>
      </c>
      <c r="D257" s="188" t="s">
        <v>304</v>
      </c>
      <c r="E257" s="187" t="s">
        <v>80</v>
      </c>
      <c r="F257" s="187" t="s">
        <v>77</v>
      </c>
      <c r="G257" s="38">
        <f>VLOOKUP(B257,'MEMORIA DE CALCULO'!B:K,10,0)</f>
        <v>1</v>
      </c>
      <c r="H257" s="189">
        <v>1815.47</v>
      </c>
      <c r="I257" s="38">
        <f t="shared" si="94"/>
        <v>2328.09</v>
      </c>
      <c r="J257" s="38">
        <f>ROUND(G257*I257,2)</f>
        <v>2328.09</v>
      </c>
    </row>
    <row r="258" spans="2:10" ht="25.5">
      <c r="B258" s="90" t="s">
        <v>318</v>
      </c>
      <c r="C258" s="187" t="s">
        <v>707</v>
      </c>
      <c r="D258" s="188" t="s">
        <v>648</v>
      </c>
      <c r="E258" s="194" t="s">
        <v>215</v>
      </c>
      <c r="F258" s="187" t="s">
        <v>77</v>
      </c>
      <c r="G258" s="38">
        <f>VLOOKUP(B258,'MEMORIA DE CALCULO'!B:K,10,0)</f>
        <v>6</v>
      </c>
      <c r="H258" s="189">
        <f>COMPOSICOES!G149</f>
        <v>367.40999999999997</v>
      </c>
      <c r="I258" s="38">
        <f t="shared" si="94"/>
        <v>471.15</v>
      </c>
      <c r="J258" s="38">
        <f>ROUND(G258*I258,2)</f>
        <v>2826.9</v>
      </c>
    </row>
    <row r="259" spans="2:10" ht="25.5">
      <c r="B259" s="90" t="s">
        <v>319</v>
      </c>
      <c r="C259" s="187">
        <v>98302</v>
      </c>
      <c r="D259" s="188" t="s">
        <v>307</v>
      </c>
      <c r="E259" s="187" t="s">
        <v>172</v>
      </c>
      <c r="F259" s="187" t="s">
        <v>77</v>
      </c>
      <c r="G259" s="38">
        <f>VLOOKUP(B259,'MEMORIA DE CALCULO'!B:K,10,0)</f>
        <v>1</v>
      </c>
      <c r="H259" s="189">
        <v>2226.91</v>
      </c>
      <c r="I259" s="38">
        <f t="shared" si="94"/>
        <v>2855.71</v>
      </c>
      <c r="J259" s="38">
        <f t="shared" ref="J259:J260" si="97">ROUND(G259*I259,2)</f>
        <v>2855.71</v>
      </c>
    </row>
    <row r="260" spans="2:10" ht="25.5">
      <c r="B260" s="90" t="s">
        <v>320</v>
      </c>
      <c r="C260" s="187">
        <v>160812</v>
      </c>
      <c r="D260" s="188" t="s">
        <v>305</v>
      </c>
      <c r="E260" s="187" t="s">
        <v>80</v>
      </c>
      <c r="F260" s="187" t="s">
        <v>77</v>
      </c>
      <c r="G260" s="38">
        <f>VLOOKUP(B260,'MEMORIA DE CALCULO'!B:K,10,0)</f>
        <v>1</v>
      </c>
      <c r="H260" s="189">
        <v>686.38</v>
      </c>
      <c r="I260" s="38">
        <f t="shared" si="94"/>
        <v>880.19</v>
      </c>
      <c r="J260" s="38">
        <f t="shared" si="97"/>
        <v>880.19</v>
      </c>
    </row>
    <row r="261" spans="2:10" s="126" customFormat="1" ht="12.75" customHeight="1">
      <c r="B261" s="124">
        <v>20</v>
      </c>
      <c r="C261" s="314" t="s">
        <v>321</v>
      </c>
      <c r="D261" s="315"/>
      <c r="E261" s="128"/>
      <c r="F261" s="129"/>
      <c r="G261" s="129"/>
      <c r="H261" s="129"/>
      <c r="I261" s="129"/>
      <c r="J261" s="125">
        <f>SUM(J262:J271)</f>
        <v>218354.52999999997</v>
      </c>
    </row>
    <row r="262" spans="2:10">
      <c r="B262" s="95" t="s">
        <v>322</v>
      </c>
      <c r="C262" s="264">
        <v>160311</v>
      </c>
      <c r="D262" s="167" t="s">
        <v>207</v>
      </c>
      <c r="E262" s="264" t="s">
        <v>80</v>
      </c>
      <c r="F262" s="264" t="s">
        <v>77</v>
      </c>
      <c r="G262" s="38">
        <f>VLOOKUP(B262,'MEMORIA DE CALCULO'!B:K,10,0)</f>
        <v>23</v>
      </c>
      <c r="H262" s="189">
        <v>260.74</v>
      </c>
      <c r="I262" s="38">
        <f t="shared" ref="I262:I271" si="98">ROUND($H262*(1+$G$14),2)</f>
        <v>334.36</v>
      </c>
      <c r="J262" s="38">
        <f t="shared" si="90"/>
        <v>7690.28</v>
      </c>
    </row>
    <row r="263" spans="2:10" ht="28.5" customHeight="1">
      <c r="B263" s="95" t="s">
        <v>323</v>
      </c>
      <c r="C263" s="264">
        <v>160326</v>
      </c>
      <c r="D263" s="167" t="s">
        <v>650</v>
      </c>
      <c r="E263" s="264" t="s">
        <v>80</v>
      </c>
      <c r="F263" s="264" t="s">
        <v>27</v>
      </c>
      <c r="G263" s="38">
        <f>VLOOKUP(B263,'MEMORIA DE CALCULO'!B:K,10,0)</f>
        <v>2200</v>
      </c>
      <c r="H263" s="189">
        <v>44.23</v>
      </c>
      <c r="I263" s="38">
        <f t="shared" si="98"/>
        <v>56.72</v>
      </c>
      <c r="J263" s="38">
        <f t="shared" si="90"/>
        <v>124784</v>
      </c>
    </row>
    <row r="264" spans="2:10" ht="38.25">
      <c r="B264" s="95" t="s">
        <v>324</v>
      </c>
      <c r="C264" s="264">
        <v>160333</v>
      </c>
      <c r="D264" s="167" t="s">
        <v>89</v>
      </c>
      <c r="E264" s="264" t="s">
        <v>80</v>
      </c>
      <c r="F264" s="264" t="s">
        <v>331</v>
      </c>
      <c r="G264" s="38">
        <f>VLOOKUP(B264,'MEMORIA DE CALCULO'!B:K,10,0)</f>
        <v>600</v>
      </c>
      <c r="H264" s="189">
        <v>87.84</v>
      </c>
      <c r="I264" s="38">
        <f t="shared" si="98"/>
        <v>112.64</v>
      </c>
      <c r="J264" s="38">
        <f t="shared" si="90"/>
        <v>67584</v>
      </c>
    </row>
    <row r="265" spans="2:10">
      <c r="B265" s="95" t="s">
        <v>325</v>
      </c>
      <c r="C265" s="264">
        <v>152007</v>
      </c>
      <c r="D265" s="167" t="s">
        <v>85</v>
      </c>
      <c r="E265" s="264" t="s">
        <v>80</v>
      </c>
      <c r="F265" s="264" t="s">
        <v>77</v>
      </c>
      <c r="G265" s="38">
        <f>VLOOKUP(B265,'MEMORIA DE CALCULO'!B:K,10,0)</f>
        <v>23</v>
      </c>
      <c r="H265" s="189">
        <v>43.74</v>
      </c>
      <c r="I265" s="38">
        <f t="shared" si="98"/>
        <v>56.09</v>
      </c>
      <c r="J265" s="38">
        <f t="shared" si="90"/>
        <v>1290.07</v>
      </c>
    </row>
    <row r="266" spans="2:10" ht="25.5">
      <c r="B266" s="95" t="s">
        <v>326</v>
      </c>
      <c r="C266" s="264">
        <v>160334</v>
      </c>
      <c r="D266" s="167" t="s">
        <v>333</v>
      </c>
      <c r="E266" s="264" t="s">
        <v>80</v>
      </c>
      <c r="F266" s="264" t="s">
        <v>77</v>
      </c>
      <c r="G266" s="38">
        <f>VLOOKUP(B266,'MEMORIA DE CALCULO'!B:K,10,0)</f>
        <v>23</v>
      </c>
      <c r="H266" s="189">
        <v>43.17</v>
      </c>
      <c r="I266" s="38">
        <f t="shared" si="98"/>
        <v>55.36</v>
      </c>
      <c r="J266" s="38">
        <f t="shared" ref="J266:J269" si="99">ROUND(G266*I266,2)</f>
        <v>1273.28</v>
      </c>
    </row>
    <row r="267" spans="2:10" ht="39" customHeight="1">
      <c r="B267" s="95" t="s">
        <v>327</v>
      </c>
      <c r="C267" s="264">
        <v>160304</v>
      </c>
      <c r="D267" s="167" t="s">
        <v>88</v>
      </c>
      <c r="E267" s="264" t="s">
        <v>80</v>
      </c>
      <c r="F267" s="264" t="s">
        <v>77</v>
      </c>
      <c r="G267" s="38">
        <f>VLOOKUP(B267,'MEMORIA DE CALCULO'!B:K,10,0)</f>
        <v>1</v>
      </c>
      <c r="H267" s="189">
        <v>924.94</v>
      </c>
      <c r="I267" s="38">
        <f t="shared" si="98"/>
        <v>1186.1099999999999</v>
      </c>
      <c r="J267" s="38">
        <f t="shared" si="99"/>
        <v>1186.1099999999999</v>
      </c>
    </row>
    <row r="268" spans="2:10" ht="25.5">
      <c r="B268" s="95" t="s">
        <v>328</v>
      </c>
      <c r="C268" s="264">
        <v>150806</v>
      </c>
      <c r="D268" s="167" t="s">
        <v>334</v>
      </c>
      <c r="E268" s="264" t="s">
        <v>80</v>
      </c>
      <c r="F268" s="264" t="s">
        <v>77</v>
      </c>
      <c r="G268" s="38">
        <f>VLOOKUP(B268,'MEMORIA DE CALCULO'!B:K,10,0)</f>
        <v>69</v>
      </c>
      <c r="H268" s="189">
        <v>26.92</v>
      </c>
      <c r="I268" s="38">
        <f t="shared" si="98"/>
        <v>34.520000000000003</v>
      </c>
      <c r="J268" s="38">
        <f t="shared" si="99"/>
        <v>2381.88</v>
      </c>
    </row>
    <row r="269" spans="2:10" ht="51">
      <c r="B269" s="95" t="s">
        <v>329</v>
      </c>
      <c r="C269" s="264">
        <v>160309</v>
      </c>
      <c r="D269" s="167" t="s">
        <v>335</v>
      </c>
      <c r="E269" s="264" t="s">
        <v>80</v>
      </c>
      <c r="F269" s="264" t="s">
        <v>77</v>
      </c>
      <c r="G269" s="38">
        <f>VLOOKUP(B269,'MEMORIA DE CALCULO'!B:K,10,0)</f>
        <v>35</v>
      </c>
      <c r="H269" s="189">
        <v>125.34</v>
      </c>
      <c r="I269" s="38">
        <f t="shared" si="98"/>
        <v>160.72999999999999</v>
      </c>
      <c r="J269" s="38">
        <f t="shared" si="99"/>
        <v>5625.55</v>
      </c>
    </row>
    <row r="270" spans="2:10" ht="25.5">
      <c r="B270" s="95" t="s">
        <v>330</v>
      </c>
      <c r="C270" s="264">
        <v>160321</v>
      </c>
      <c r="D270" s="167" t="s">
        <v>87</v>
      </c>
      <c r="E270" s="264" t="s">
        <v>80</v>
      </c>
      <c r="F270" s="264" t="s">
        <v>77</v>
      </c>
      <c r="G270" s="38">
        <f>VLOOKUP(B270,'MEMORIA DE CALCULO'!B:K,10,0)</f>
        <v>23</v>
      </c>
      <c r="H270" s="189">
        <v>132.15</v>
      </c>
      <c r="I270" s="38">
        <f t="shared" si="98"/>
        <v>169.46</v>
      </c>
      <c r="J270" s="38">
        <f t="shared" ref="J270" si="100">ROUND(G270*I270,2)</f>
        <v>3897.58</v>
      </c>
    </row>
    <row r="271" spans="2:10" ht="38.25">
      <c r="B271" s="95" t="s">
        <v>332</v>
      </c>
      <c r="C271" s="264">
        <v>160316</v>
      </c>
      <c r="D271" s="167" t="s">
        <v>86</v>
      </c>
      <c r="E271" s="264" t="s">
        <v>80</v>
      </c>
      <c r="F271" s="264" t="s">
        <v>77</v>
      </c>
      <c r="G271" s="38">
        <f>VLOOKUP(B271,'MEMORIA DE CALCULO'!B:K,10,0)</f>
        <v>23</v>
      </c>
      <c r="H271" s="189">
        <v>89.57</v>
      </c>
      <c r="I271" s="38">
        <f t="shared" si="98"/>
        <v>114.86</v>
      </c>
      <c r="J271" s="38">
        <f t="shared" ref="J271" si="101">ROUND(G271*I271,2)</f>
        <v>2641.78</v>
      </c>
    </row>
    <row r="272" spans="2:10" s="126" customFormat="1" ht="12.75" customHeight="1">
      <c r="B272" s="124">
        <v>21</v>
      </c>
      <c r="C272" s="314" t="s">
        <v>733</v>
      </c>
      <c r="D272" s="322"/>
      <c r="E272" s="133"/>
      <c r="F272" s="129"/>
      <c r="G272" s="129"/>
      <c r="H272" s="129"/>
      <c r="I272" s="134"/>
      <c r="J272" s="125">
        <f>J273+J276+J279</f>
        <v>214172.98</v>
      </c>
    </row>
    <row r="273" spans="2:10">
      <c r="B273" s="169" t="s">
        <v>435</v>
      </c>
      <c r="C273" s="316" t="s">
        <v>567</v>
      </c>
      <c r="D273" s="317"/>
      <c r="E273" s="170"/>
      <c r="F273" s="171"/>
      <c r="G273" s="171"/>
      <c r="H273" s="172"/>
      <c r="I273" s="173"/>
      <c r="J273" s="174">
        <f>SUM(J274:J275)</f>
        <v>12474.91</v>
      </c>
    </row>
    <row r="274" spans="2:10">
      <c r="B274" s="90" t="s">
        <v>439</v>
      </c>
      <c r="C274" s="93">
        <v>10224</v>
      </c>
      <c r="D274" s="90" t="s">
        <v>586</v>
      </c>
      <c r="E274" s="37" t="s">
        <v>80</v>
      </c>
      <c r="F274" s="37" t="s">
        <v>26</v>
      </c>
      <c r="G274" s="38">
        <f>VLOOKUP(B274,'MEMORIA DE CALCULO'!B:K,10,0)</f>
        <v>236</v>
      </c>
      <c r="H274" s="38">
        <v>15.85</v>
      </c>
      <c r="I274" s="38">
        <f t="shared" ref="I274:I278" si="102">ROUND($H274*(1+$G$14),2)</f>
        <v>20.329999999999998</v>
      </c>
      <c r="J274" s="38">
        <f t="shared" ref="J274:J275" si="103">ROUND(G274*I274,2)</f>
        <v>4797.88</v>
      </c>
    </row>
    <row r="275" spans="2:10">
      <c r="B275" s="90" t="s">
        <v>443</v>
      </c>
      <c r="C275" s="93">
        <v>10218</v>
      </c>
      <c r="D275" s="90" t="s">
        <v>734</v>
      </c>
      <c r="E275" s="37" t="s">
        <v>80</v>
      </c>
      <c r="F275" s="37" t="s">
        <v>26</v>
      </c>
      <c r="G275" s="38">
        <f>VLOOKUP(B275,'MEMORIA DE CALCULO'!B:K,10,0)</f>
        <v>484.05</v>
      </c>
      <c r="H275" s="38">
        <v>12.37</v>
      </c>
      <c r="I275" s="38">
        <f t="shared" si="102"/>
        <v>15.86</v>
      </c>
      <c r="J275" s="38">
        <f t="shared" si="103"/>
        <v>7677.03</v>
      </c>
    </row>
    <row r="276" spans="2:10">
      <c r="B276" s="169" t="s">
        <v>437</v>
      </c>
      <c r="C276" s="316" t="s">
        <v>436</v>
      </c>
      <c r="D276" s="317"/>
      <c r="E276" s="170"/>
      <c r="F276" s="171"/>
      <c r="G276" s="171"/>
      <c r="H276" s="172"/>
      <c r="I276" s="173"/>
      <c r="J276" s="174">
        <f>SUM(J277:J278)</f>
        <v>176321.03</v>
      </c>
    </row>
    <row r="277" spans="2:10" ht="25.5">
      <c r="B277" s="90" t="s">
        <v>440</v>
      </c>
      <c r="C277" s="37">
        <v>160708</v>
      </c>
      <c r="D277" s="90" t="s">
        <v>735</v>
      </c>
      <c r="E277" s="37" t="s">
        <v>80</v>
      </c>
      <c r="F277" s="37" t="s">
        <v>26</v>
      </c>
      <c r="G277" s="38">
        <f>VLOOKUP(B277,'MEMORIA DE CALCULO'!B:K,10,0)</f>
        <v>242.51</v>
      </c>
      <c r="H277" s="38">
        <v>25.42</v>
      </c>
      <c r="I277" s="38">
        <f t="shared" si="102"/>
        <v>32.6</v>
      </c>
      <c r="J277" s="38">
        <f t="shared" ref="J277:J278" si="104">ROUND(G277*I277,2)</f>
        <v>7905.83</v>
      </c>
    </row>
    <row r="278" spans="2:10" ht="38.25">
      <c r="B278" s="90" t="s">
        <v>444</v>
      </c>
      <c r="C278" s="37">
        <v>200711</v>
      </c>
      <c r="D278" s="90" t="s">
        <v>445</v>
      </c>
      <c r="E278" s="37" t="s">
        <v>80</v>
      </c>
      <c r="F278" s="37" t="s">
        <v>26</v>
      </c>
      <c r="G278" s="38">
        <f>VLOOKUP(B278,'MEMORIA DE CALCULO'!B:K,10,0)</f>
        <v>432</v>
      </c>
      <c r="H278" s="38">
        <v>304.01</v>
      </c>
      <c r="I278" s="38">
        <f t="shared" si="102"/>
        <v>389.85</v>
      </c>
      <c r="J278" s="38">
        <f t="shared" si="104"/>
        <v>168415.2</v>
      </c>
    </row>
    <row r="279" spans="2:10">
      <c r="B279" s="169" t="s">
        <v>438</v>
      </c>
      <c r="C279" s="316" t="s">
        <v>446</v>
      </c>
      <c r="D279" s="317"/>
      <c r="E279" s="170"/>
      <c r="F279" s="171"/>
      <c r="G279" s="171"/>
      <c r="H279" s="172"/>
      <c r="I279" s="173"/>
      <c r="J279" s="174">
        <f>SUM(J280:J284)</f>
        <v>25377.040000000001</v>
      </c>
    </row>
    <row r="280" spans="2:10" ht="38.25">
      <c r="B280" s="90" t="s">
        <v>441</v>
      </c>
      <c r="C280" s="37">
        <v>200703</v>
      </c>
      <c r="D280" s="95" t="s">
        <v>447</v>
      </c>
      <c r="E280" s="37" t="s">
        <v>80</v>
      </c>
      <c r="F280" s="37" t="s">
        <v>27</v>
      </c>
      <c r="G280" s="38">
        <f>VLOOKUP(B280,'MEMORIA DE CALCULO'!B:K,10,0)</f>
        <v>241.54</v>
      </c>
      <c r="H280" s="38">
        <v>33.21</v>
      </c>
      <c r="I280" s="38">
        <f t="shared" ref="I280:I281" si="105">ROUND($H280*(1+$G$14),2)</f>
        <v>42.59</v>
      </c>
      <c r="J280" s="38">
        <f t="shared" ref="J280:J281" si="106">ROUND(G280*I280,2)</f>
        <v>10287.19</v>
      </c>
    </row>
    <row r="281" spans="2:10" ht="25.5">
      <c r="B281" s="90" t="s">
        <v>442</v>
      </c>
      <c r="C281" s="37">
        <v>200706</v>
      </c>
      <c r="D281" s="90" t="s">
        <v>448</v>
      </c>
      <c r="E281" s="37" t="s">
        <v>80</v>
      </c>
      <c r="F281" s="37" t="s">
        <v>77</v>
      </c>
      <c r="G281" s="38">
        <f>VLOOKUP(B281,'MEMORIA DE CALCULO'!B:K,10,0)</f>
        <v>2</v>
      </c>
      <c r="H281" s="38">
        <v>3666.81</v>
      </c>
      <c r="I281" s="38">
        <f t="shared" si="105"/>
        <v>4702.18</v>
      </c>
      <c r="J281" s="38">
        <f t="shared" si="106"/>
        <v>9404.36</v>
      </c>
    </row>
    <row r="282" spans="2:10" ht="38.25">
      <c r="B282" s="90" t="s">
        <v>736</v>
      </c>
      <c r="C282" s="37">
        <v>200708</v>
      </c>
      <c r="D282" s="95" t="s">
        <v>449</v>
      </c>
      <c r="E282" s="37" t="s">
        <v>80</v>
      </c>
      <c r="F282" s="37" t="s">
        <v>77</v>
      </c>
      <c r="G282" s="38">
        <f>VLOOKUP(B282,'MEMORIA DE CALCULO'!B:K,10,0)</f>
        <v>1</v>
      </c>
      <c r="H282" s="38">
        <v>1434.98</v>
      </c>
      <c r="I282" s="38">
        <f>ROUND($H282*(1+$H$14),2)</f>
        <v>1658.41</v>
      </c>
      <c r="J282" s="38">
        <f t="shared" ref="J282:J283" si="107">ROUND(G282*I282,2)</f>
        <v>1658.41</v>
      </c>
    </row>
    <row r="283" spans="2:10" ht="25.5">
      <c r="B283" s="90" t="s">
        <v>737</v>
      </c>
      <c r="C283" s="37">
        <v>200707</v>
      </c>
      <c r="D283" s="90" t="s">
        <v>450</v>
      </c>
      <c r="E283" s="37" t="s">
        <v>80</v>
      </c>
      <c r="F283" s="37" t="s">
        <v>77</v>
      </c>
      <c r="G283" s="38">
        <f>VLOOKUP(B283,'MEMORIA DE CALCULO'!B:K,10,0)</f>
        <v>2</v>
      </c>
      <c r="H283" s="38">
        <v>1742.27</v>
      </c>
      <c r="I283" s="38">
        <f>ROUND($H283*(1+$H$14),2)</f>
        <v>2013.54</v>
      </c>
      <c r="J283" s="38">
        <f t="shared" si="107"/>
        <v>4027.08</v>
      </c>
    </row>
    <row r="284" spans="2:10" s="96" customFormat="1" ht="0.75" customHeight="1">
      <c r="B284" s="97"/>
      <c r="C284" s="97"/>
    </row>
    <row r="285" spans="2:10" s="126" customFormat="1" ht="12.75" customHeight="1">
      <c r="B285" s="124">
        <v>22</v>
      </c>
      <c r="C285" s="314" t="s">
        <v>29</v>
      </c>
      <c r="D285" s="315"/>
      <c r="E285" s="128"/>
      <c r="F285" s="129"/>
      <c r="G285" s="129"/>
      <c r="H285" s="129"/>
      <c r="I285" s="129"/>
      <c r="J285" s="125">
        <f>SUM(J286:J295)</f>
        <v>226571.85999999996</v>
      </c>
    </row>
    <row r="286" spans="2:10" ht="51">
      <c r="B286" s="95" t="s">
        <v>483</v>
      </c>
      <c r="C286" s="190">
        <v>200124</v>
      </c>
      <c r="D286" s="191" t="s">
        <v>161</v>
      </c>
      <c r="E286" s="190" t="s">
        <v>80</v>
      </c>
      <c r="F286" s="190" t="s">
        <v>27</v>
      </c>
      <c r="G286" s="38">
        <f>VLOOKUP(B286,'MEMORIA DE CALCULO'!B:K,10,0)</f>
        <v>66</v>
      </c>
      <c r="H286" s="38">
        <v>903.72</v>
      </c>
      <c r="I286" s="38">
        <f t="shared" ref="I286:I295" si="108">ROUND($H286*(1+$G$14),2)</f>
        <v>1158.9000000000001</v>
      </c>
      <c r="J286" s="38">
        <f t="shared" ref="J286:J293" si="109">ROUND(G286*I286,2)</f>
        <v>76487.399999999994</v>
      </c>
    </row>
    <row r="287" spans="2:10" ht="38.25">
      <c r="B287" s="95" t="s">
        <v>484</v>
      </c>
      <c r="C287" s="190">
        <v>200253</v>
      </c>
      <c r="D287" s="193" t="s">
        <v>482</v>
      </c>
      <c r="E287" s="190" t="s">
        <v>80</v>
      </c>
      <c r="F287" s="190" t="s">
        <v>26</v>
      </c>
      <c r="G287" s="38">
        <f>VLOOKUP(B287,'MEMORIA DE CALCULO'!B:K,10,0)</f>
        <v>122</v>
      </c>
      <c r="H287" s="38">
        <v>97.74</v>
      </c>
      <c r="I287" s="38">
        <f t="shared" si="108"/>
        <v>125.34</v>
      </c>
      <c r="J287" s="38">
        <f t="shared" si="109"/>
        <v>15291.48</v>
      </c>
    </row>
    <row r="288" spans="2:10">
      <c r="B288" s="95" t="s">
        <v>485</v>
      </c>
      <c r="C288" s="190">
        <v>120216</v>
      </c>
      <c r="D288" s="193" t="s">
        <v>530</v>
      </c>
      <c r="E288" s="190" t="s">
        <v>80</v>
      </c>
      <c r="F288" s="190" t="s">
        <v>27</v>
      </c>
      <c r="G288" s="38">
        <f>VLOOKUP(B288,'MEMORIA DE CALCULO'!B:K,10,0)</f>
        <v>488.79</v>
      </c>
      <c r="H288" s="38">
        <v>18.46</v>
      </c>
      <c r="I288" s="38">
        <f t="shared" si="108"/>
        <v>23.67</v>
      </c>
      <c r="J288" s="38">
        <f t="shared" ref="J288:J292" si="110">ROUND(G288*I288,2)</f>
        <v>11569.66</v>
      </c>
    </row>
    <row r="289" spans="2:10" ht="51">
      <c r="B289" s="95" t="s">
        <v>537</v>
      </c>
      <c r="C289" s="190">
        <v>210114</v>
      </c>
      <c r="D289" s="193" t="s">
        <v>533</v>
      </c>
      <c r="E289" s="190" t="s">
        <v>80</v>
      </c>
      <c r="F289" s="190" t="s">
        <v>77</v>
      </c>
      <c r="G289" s="38">
        <f>VLOOKUP(B289,'MEMORIA DE CALCULO'!B:K,10,0)</f>
        <v>13</v>
      </c>
      <c r="H289" s="38">
        <v>4605.67</v>
      </c>
      <c r="I289" s="38">
        <f t="shared" si="108"/>
        <v>5906.14</v>
      </c>
      <c r="J289" s="38">
        <f t="shared" si="110"/>
        <v>76779.820000000007</v>
      </c>
    </row>
    <row r="290" spans="2:10" ht="25.5">
      <c r="B290" s="95" t="s">
        <v>538</v>
      </c>
      <c r="C290" s="190">
        <v>200573</v>
      </c>
      <c r="D290" s="193" t="s">
        <v>534</v>
      </c>
      <c r="E290" s="190" t="s">
        <v>80</v>
      </c>
      <c r="F290" s="190" t="s">
        <v>27</v>
      </c>
      <c r="G290" s="38">
        <f>VLOOKUP(B290,'MEMORIA DE CALCULO'!B:K,10,0)</f>
        <v>8</v>
      </c>
      <c r="H290" s="38">
        <v>244.36</v>
      </c>
      <c r="I290" s="38">
        <f t="shared" si="108"/>
        <v>313.36</v>
      </c>
      <c r="J290" s="38">
        <f t="shared" ref="J290:J291" si="111">ROUND(G290*I290,2)</f>
        <v>2506.88</v>
      </c>
    </row>
    <row r="291" spans="2:10" ht="38.25">
      <c r="B291" s="95" t="s">
        <v>539</v>
      </c>
      <c r="C291" s="190">
        <v>200130</v>
      </c>
      <c r="D291" s="193" t="s">
        <v>535</v>
      </c>
      <c r="E291" s="190" t="s">
        <v>80</v>
      </c>
      <c r="F291" s="190" t="s">
        <v>27</v>
      </c>
      <c r="G291" s="38">
        <f>VLOOKUP(B291,'MEMORIA DE CALCULO'!B:K,10,0)</f>
        <v>28</v>
      </c>
      <c r="H291" s="38">
        <v>972.92</v>
      </c>
      <c r="I291" s="38">
        <f t="shared" si="108"/>
        <v>1247.6400000000001</v>
      </c>
      <c r="J291" s="38">
        <f t="shared" si="111"/>
        <v>34933.919999999998</v>
      </c>
    </row>
    <row r="292" spans="2:10" ht="51">
      <c r="B292" s="95" t="s">
        <v>540</v>
      </c>
      <c r="C292" s="37" t="s">
        <v>767</v>
      </c>
      <c r="D292" s="193" t="s">
        <v>768</v>
      </c>
      <c r="E292" s="190" t="s">
        <v>769</v>
      </c>
      <c r="F292" s="190" t="s">
        <v>77</v>
      </c>
      <c r="G292" s="38">
        <f>VLOOKUP(B292,'MEMORIA DE CALCULO'!B:K,10,0)</f>
        <v>3</v>
      </c>
      <c r="H292" s="38">
        <v>1466.18</v>
      </c>
      <c r="I292" s="38">
        <f t="shared" si="108"/>
        <v>1880.17</v>
      </c>
      <c r="J292" s="38">
        <f t="shared" si="110"/>
        <v>5640.51</v>
      </c>
    </row>
    <row r="293" spans="2:10" ht="38.25">
      <c r="B293" s="95" t="s">
        <v>541</v>
      </c>
      <c r="C293" s="37">
        <v>200576</v>
      </c>
      <c r="D293" s="193" t="s">
        <v>536</v>
      </c>
      <c r="E293" s="190" t="s">
        <v>80</v>
      </c>
      <c r="F293" s="190" t="s">
        <v>77</v>
      </c>
      <c r="G293" s="38">
        <f>VLOOKUP(B293,'MEMORIA DE CALCULO'!B:K,10,0)</f>
        <v>1</v>
      </c>
      <c r="H293" s="38">
        <v>803.85</v>
      </c>
      <c r="I293" s="38">
        <f t="shared" si="108"/>
        <v>1030.83</v>
      </c>
      <c r="J293" s="38">
        <f t="shared" si="109"/>
        <v>1030.83</v>
      </c>
    </row>
    <row r="294" spans="2:10" ht="38.25">
      <c r="B294" s="95" t="s">
        <v>662</v>
      </c>
      <c r="C294" s="37">
        <v>11961</v>
      </c>
      <c r="D294" s="193" t="s">
        <v>772</v>
      </c>
      <c r="E294" s="190" t="s">
        <v>474</v>
      </c>
      <c r="F294" s="190" t="s">
        <v>26</v>
      </c>
      <c r="G294" s="38">
        <f>VLOOKUP(B294,'MEMORIA DE CALCULO'!B:K,10,0)</f>
        <v>4.5</v>
      </c>
      <c r="H294" s="38">
        <v>260.11</v>
      </c>
      <c r="I294" s="38">
        <f t="shared" si="108"/>
        <v>333.56</v>
      </c>
      <c r="J294" s="38">
        <f t="shared" ref="J294" si="112">ROUND(G294*I294,2)</f>
        <v>1501.02</v>
      </c>
    </row>
    <row r="295" spans="2:10">
      <c r="B295" s="95" t="s">
        <v>774</v>
      </c>
      <c r="C295" s="37">
        <v>10710</v>
      </c>
      <c r="D295" s="193" t="s">
        <v>773</v>
      </c>
      <c r="E295" s="190" t="s">
        <v>474</v>
      </c>
      <c r="F295" s="190" t="s">
        <v>26</v>
      </c>
      <c r="G295" s="38">
        <f>VLOOKUP(B295,'MEMORIA DE CALCULO'!B:K,10,0)</f>
        <v>4.5</v>
      </c>
      <c r="H295" s="38">
        <v>143.88999999999999</v>
      </c>
      <c r="I295" s="38">
        <f t="shared" si="108"/>
        <v>184.52</v>
      </c>
      <c r="J295" s="38">
        <f t="shared" ref="J295" si="113">ROUND(G295*I295,2)</f>
        <v>830.34</v>
      </c>
    </row>
    <row r="296" spans="2:10" s="96" customFormat="1" ht="20.25" customHeight="1">
      <c r="B296" s="148"/>
      <c r="C296" s="147"/>
      <c r="D296" s="147"/>
      <c r="E296" s="147"/>
      <c r="F296" s="147"/>
      <c r="G296" s="147"/>
      <c r="H296" s="147"/>
      <c r="I296" s="147"/>
      <c r="J296" s="146"/>
    </row>
    <row r="297" spans="2:10" s="96" customFormat="1" ht="24" customHeight="1">
      <c r="B297" s="321" t="s">
        <v>13</v>
      </c>
      <c r="C297" s="321"/>
      <c r="D297" s="321"/>
      <c r="E297" s="321"/>
      <c r="F297" s="321"/>
      <c r="G297" s="321"/>
      <c r="H297" s="321"/>
      <c r="I297" s="321"/>
      <c r="J297" s="152">
        <f>J18+J45+J49+J54+J59+J63+J80+J88+J95+J109+J114+J134+J138+J147+J167+J171+J182+J235+J247+J261+J272+J285</f>
        <v>5150301.4800000004</v>
      </c>
    </row>
    <row r="299" spans="2:10">
      <c r="J299" s="145"/>
    </row>
    <row r="300" spans="2:10">
      <c r="I300" s="153"/>
    </row>
  </sheetData>
  <autoFilter ref="E1:E300" xr:uid="{00000000-0001-0000-0000-000000000000}"/>
  <mergeCells count="47">
    <mergeCell ref="C109:D109"/>
    <mergeCell ref="C114:D114"/>
    <mergeCell ref="C115:D115"/>
    <mergeCell ref="C121:D121"/>
    <mergeCell ref="C134:D134"/>
    <mergeCell ref="C127:D127"/>
    <mergeCell ref="B2:J8"/>
    <mergeCell ref="B16:J16"/>
    <mergeCell ref="C54:D54"/>
    <mergeCell ref="C45:D45"/>
    <mergeCell ref="B14:E14"/>
    <mergeCell ref="C19:D19"/>
    <mergeCell ref="C33:D33"/>
    <mergeCell ref="B297:I297"/>
    <mergeCell ref="C272:D272"/>
    <mergeCell ref="C235:D235"/>
    <mergeCell ref="C261:D261"/>
    <mergeCell ref="C18:D18"/>
    <mergeCell ref="C49:D49"/>
    <mergeCell ref="C59:D59"/>
    <mergeCell ref="C63:D63"/>
    <mergeCell ref="C182:D182"/>
    <mergeCell ref="C183:D183"/>
    <mergeCell ref="C188:D188"/>
    <mergeCell ref="C198:D198"/>
    <mergeCell ref="C211:D211"/>
    <mergeCell ref="C220:D220"/>
    <mergeCell ref="C64:D64"/>
    <mergeCell ref="C71:D71"/>
    <mergeCell ref="C95:D95"/>
    <mergeCell ref="C105:D105"/>
    <mergeCell ref="C88:D88"/>
    <mergeCell ref="C96:D96"/>
    <mergeCell ref="C74:D74"/>
    <mergeCell ref="C77:D77"/>
    <mergeCell ref="C80:D80"/>
    <mergeCell ref="C285:D285"/>
    <mergeCell ref="C273:D273"/>
    <mergeCell ref="C276:D276"/>
    <mergeCell ref="C279:D279"/>
    <mergeCell ref="C138:D138"/>
    <mergeCell ref="C147:D147"/>
    <mergeCell ref="C167:D167"/>
    <mergeCell ref="C171:D171"/>
    <mergeCell ref="C247:D247"/>
    <mergeCell ref="C223:D223"/>
    <mergeCell ref="C232:D232"/>
  </mergeCells>
  <phoneticPr fontId="10" type="noConversion"/>
  <pageMargins left="0.27559055118110237" right="0.27559055118110237" top="0.27559055118110237" bottom="0.27559055118110237" header="0" footer="0"/>
  <pageSetup paperSize="9" scale="61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44892-A74D-45AB-8240-DD3688EB491E}">
  <sheetPr>
    <tabColor theme="5" tint="0.39997558519241921"/>
  </sheetPr>
  <dimension ref="A1:K304"/>
  <sheetViews>
    <sheetView view="pageBreakPreview" topLeftCell="B1" zoomScale="80" zoomScaleNormal="80" zoomScaleSheetLayoutView="80" workbookViewId="0">
      <pane ySplit="15" topLeftCell="A16" activePane="bottomLeft" state="frozen"/>
      <selection activeCell="M10" sqref="M10"/>
      <selection pane="bottomLeft" activeCell="M10" sqref="M10"/>
    </sheetView>
  </sheetViews>
  <sheetFormatPr defaultRowHeight="15"/>
  <cols>
    <col min="1" max="1" width="3.140625" customWidth="1"/>
    <col min="2" max="2" width="12" customWidth="1"/>
    <col min="3" max="3" width="66.28515625" customWidth="1"/>
    <col min="4" max="4" width="6.85546875" customWidth="1"/>
    <col min="5" max="5" width="9.140625" customWidth="1"/>
    <col min="6" max="6" width="8" customWidth="1"/>
    <col min="7" max="7" width="12" customWidth="1"/>
    <col min="8" max="9" width="9.7109375" customWidth="1"/>
    <col min="10" max="10" width="38.28515625" customWidth="1"/>
    <col min="11" max="11" width="17" customWidth="1"/>
  </cols>
  <sheetData>
    <row r="1" spans="1:11" ht="15.75" thickBot="1">
      <c r="A1" s="214"/>
      <c r="B1" s="214"/>
      <c r="C1" s="215"/>
      <c r="D1" s="214"/>
      <c r="E1" s="214"/>
      <c r="F1" s="216"/>
      <c r="G1" s="216"/>
      <c r="H1" s="216"/>
      <c r="I1" s="216"/>
      <c r="J1" s="215"/>
      <c r="K1" s="217"/>
    </row>
    <row r="2" spans="1:11" ht="12.75" customHeight="1">
      <c r="A2" s="214"/>
      <c r="B2" s="326" t="s">
        <v>170</v>
      </c>
      <c r="C2" s="341"/>
      <c r="D2" s="341"/>
      <c r="E2" s="341"/>
      <c r="F2" s="341"/>
      <c r="G2" s="341"/>
      <c r="H2" s="341"/>
      <c r="I2" s="341"/>
      <c r="J2" s="341"/>
      <c r="K2" s="342"/>
    </row>
    <row r="3" spans="1:11" ht="12.75" customHeight="1">
      <c r="A3" s="22"/>
      <c r="B3" s="343"/>
      <c r="C3" s="344"/>
      <c r="D3" s="344"/>
      <c r="E3" s="344"/>
      <c r="F3" s="344"/>
      <c r="G3" s="344"/>
      <c r="H3" s="344"/>
      <c r="I3" s="344"/>
      <c r="J3" s="344"/>
      <c r="K3" s="345"/>
    </row>
    <row r="4" spans="1:11" ht="12.75" customHeight="1">
      <c r="A4" s="22"/>
      <c r="B4" s="343"/>
      <c r="C4" s="344"/>
      <c r="D4" s="344"/>
      <c r="E4" s="344"/>
      <c r="F4" s="344"/>
      <c r="G4" s="344"/>
      <c r="H4" s="344"/>
      <c r="I4" s="344"/>
      <c r="J4" s="344"/>
      <c r="K4" s="345"/>
    </row>
    <row r="5" spans="1:11" ht="12.75" customHeight="1">
      <c r="A5" s="22"/>
      <c r="B5" s="343"/>
      <c r="C5" s="344"/>
      <c r="D5" s="344"/>
      <c r="E5" s="344"/>
      <c r="F5" s="344"/>
      <c r="G5" s="344"/>
      <c r="H5" s="344"/>
      <c r="I5" s="344"/>
      <c r="J5" s="344"/>
      <c r="K5" s="345"/>
    </row>
    <row r="6" spans="1:11" ht="12.75" customHeight="1">
      <c r="A6" s="22"/>
      <c r="B6" s="343"/>
      <c r="C6" s="344"/>
      <c r="D6" s="344"/>
      <c r="E6" s="344"/>
      <c r="F6" s="344"/>
      <c r="G6" s="344"/>
      <c r="H6" s="344"/>
      <c r="I6" s="344"/>
      <c r="J6" s="344"/>
      <c r="K6" s="345"/>
    </row>
    <row r="7" spans="1:11" ht="12.75" customHeight="1">
      <c r="A7" s="214"/>
      <c r="B7" s="343"/>
      <c r="C7" s="344"/>
      <c r="D7" s="344"/>
      <c r="E7" s="344"/>
      <c r="F7" s="344"/>
      <c r="G7" s="344"/>
      <c r="H7" s="344"/>
      <c r="I7" s="344"/>
      <c r="J7" s="344"/>
      <c r="K7" s="345"/>
    </row>
    <row r="8" spans="1:11" ht="12.75" customHeight="1" thickBot="1">
      <c r="A8" s="214"/>
      <c r="B8" s="346"/>
      <c r="C8" s="347"/>
      <c r="D8" s="347"/>
      <c r="E8" s="347"/>
      <c r="F8" s="347"/>
      <c r="G8" s="347"/>
      <c r="H8" s="347"/>
      <c r="I8" s="347"/>
      <c r="J8" s="347"/>
      <c r="K8" s="348"/>
    </row>
    <row r="9" spans="1:11" ht="12.75" customHeight="1" thickBot="1">
      <c r="A9" s="214"/>
      <c r="B9" s="11"/>
      <c r="C9" s="64"/>
      <c r="D9" s="11"/>
      <c r="E9" s="11"/>
      <c r="F9" s="216"/>
      <c r="G9" s="216"/>
      <c r="H9" s="216"/>
      <c r="I9" s="216"/>
      <c r="J9" s="64"/>
      <c r="K9" s="13"/>
    </row>
    <row r="10" spans="1:11" ht="12.75" customHeight="1">
      <c r="A10" s="22"/>
      <c r="B10" s="1" t="s">
        <v>771</v>
      </c>
      <c r="C10" s="43"/>
      <c r="D10" s="43"/>
      <c r="E10" s="14"/>
      <c r="F10" s="218"/>
      <c r="G10" s="218"/>
      <c r="H10" s="218"/>
      <c r="I10" s="218"/>
      <c r="J10" s="219"/>
      <c r="K10" s="220"/>
    </row>
    <row r="11" spans="1:11" ht="12.75" customHeight="1">
      <c r="A11" s="22"/>
      <c r="B11" s="4" t="s">
        <v>171</v>
      </c>
      <c r="C11" s="46"/>
      <c r="D11" s="46"/>
      <c r="E11" s="19"/>
      <c r="F11" s="221"/>
      <c r="G11" s="221"/>
      <c r="H11" s="221"/>
      <c r="I11" s="221"/>
      <c r="J11" s="222"/>
      <c r="K11" s="223"/>
    </row>
    <row r="12" spans="1:11" ht="12.75" customHeight="1" thickBot="1">
      <c r="A12" s="22"/>
      <c r="B12" s="7" t="s">
        <v>657</v>
      </c>
      <c r="C12" s="49"/>
      <c r="D12" s="49"/>
      <c r="E12" s="24"/>
      <c r="F12" s="224"/>
      <c r="G12" s="224"/>
      <c r="H12" s="224"/>
      <c r="I12" s="224"/>
      <c r="J12" s="225"/>
      <c r="K12" s="226"/>
    </row>
    <row r="13" spans="1:11" ht="12.75" customHeight="1" thickBot="1">
      <c r="A13" s="22"/>
      <c r="B13" s="19"/>
      <c r="C13" s="227"/>
      <c r="D13" s="19"/>
      <c r="E13" s="19"/>
      <c r="F13" s="221"/>
      <c r="G13" s="221"/>
      <c r="H13" s="221"/>
      <c r="I13" s="221"/>
      <c r="J13" s="222"/>
      <c r="K13" s="46"/>
    </row>
    <row r="14" spans="1:11" ht="16.5" thickBot="1">
      <c r="A14" s="22"/>
      <c r="B14" s="349" t="s">
        <v>490</v>
      </c>
      <c r="C14" s="350"/>
      <c r="D14" s="350"/>
      <c r="E14" s="350"/>
      <c r="F14" s="350"/>
      <c r="G14" s="350"/>
      <c r="H14" s="350"/>
      <c r="I14" s="350"/>
      <c r="J14" s="350"/>
      <c r="K14" s="351"/>
    </row>
    <row r="15" spans="1:11" ht="13.5" customHeight="1" thickBot="1">
      <c r="A15" s="22"/>
      <c r="B15" s="228" t="s">
        <v>22</v>
      </c>
      <c r="C15" s="229" t="s">
        <v>491</v>
      </c>
      <c r="D15" s="230" t="s">
        <v>492</v>
      </c>
      <c r="E15" s="230" t="s">
        <v>493</v>
      </c>
      <c r="F15" s="231" t="s">
        <v>494</v>
      </c>
      <c r="G15" s="231" t="s">
        <v>495</v>
      </c>
      <c r="H15" s="231" t="s">
        <v>496</v>
      </c>
      <c r="I15" s="231" t="s">
        <v>497</v>
      </c>
      <c r="J15" s="232" t="s">
        <v>498</v>
      </c>
      <c r="K15" s="233" t="s">
        <v>499</v>
      </c>
    </row>
    <row r="16" spans="1:11">
      <c r="A16" s="22"/>
      <c r="B16" s="234">
        <v>1</v>
      </c>
      <c r="C16" s="297" t="str">
        <f>VLOOKUP(B16,'PLANILHA ORÇAMENTARIA'!B:J,2,0)</f>
        <v>SERVIÇOS PRELIMINARES</v>
      </c>
      <c r="D16" s="236"/>
      <c r="E16" s="236"/>
      <c r="F16" s="237"/>
      <c r="G16" s="237"/>
      <c r="H16" s="237"/>
      <c r="I16" s="237"/>
      <c r="J16" s="235"/>
      <c r="K16" s="238"/>
    </row>
    <row r="17" spans="1:11">
      <c r="A17" s="22"/>
      <c r="B17" s="234" t="s">
        <v>116</v>
      </c>
      <c r="C17" s="297" t="str">
        <f>VLOOKUP(B17,'PLANILHA ORÇAMENTARIA'!B:J,2,0)</f>
        <v>INSTALAÇÕES DO CANTEIRO DE OBRAS</v>
      </c>
      <c r="D17" s="236"/>
      <c r="E17" s="236"/>
      <c r="F17" s="237"/>
      <c r="G17" s="237"/>
      <c r="H17" s="237"/>
      <c r="I17" s="237"/>
      <c r="J17" s="235"/>
      <c r="K17" s="238"/>
    </row>
    <row r="18" spans="1:11">
      <c r="A18" s="239"/>
      <c r="B18" s="257" t="s">
        <v>557</v>
      </c>
      <c r="C18" s="255" t="str">
        <f>VLOOKUP(B18,'PLANILHA ORÇAMENTARIA'!B:J,3,0)</f>
        <v>Placa de obra nas dimensões de 2.0 x 4.0 m, padrão IOPES</v>
      </c>
      <c r="D18" s="256" t="str">
        <f>VLOOKUP(B18,'PLANILHA ORÇAMENTARIA'!B:J,5,0)</f>
        <v>m²</v>
      </c>
      <c r="E18" s="240"/>
      <c r="F18" s="241"/>
      <c r="G18" s="241">
        <v>2</v>
      </c>
      <c r="H18" s="241">
        <v>4</v>
      </c>
      <c r="I18" s="241"/>
      <c r="J18" s="242"/>
      <c r="K18" s="243">
        <f>ROUND(G18*H18,2)</f>
        <v>8</v>
      </c>
    </row>
    <row r="19" spans="1:11">
      <c r="A19" s="239"/>
      <c r="B19" s="257" t="s">
        <v>558</v>
      </c>
      <c r="C19" s="255" t="str">
        <f>VLOOKUP(B19,'PLANILHA ORÇAMENTARIA'!B:J,3,0)</f>
        <v>Locação de obra com gabarito de madeira</v>
      </c>
      <c r="D19" s="256" t="str">
        <f>VLOOKUP(B19,'PLANILHA ORÇAMENTARIA'!B:J,5,0)</f>
        <v>m²</v>
      </c>
      <c r="E19" s="38">
        <v>975</v>
      </c>
      <c r="F19" s="241"/>
      <c r="G19" s="241"/>
      <c r="H19" s="241"/>
      <c r="I19" s="241"/>
      <c r="J19" s="242"/>
      <c r="K19" s="243">
        <f>E19</f>
        <v>975</v>
      </c>
    </row>
    <row r="20" spans="1:11" ht="51">
      <c r="A20" s="239"/>
      <c r="B20" s="257" t="s">
        <v>559</v>
      </c>
      <c r="C20" s="255" t="str">
        <f>VLOOKUP(B20,'PLANILHA ORÇAMENTARIA'!B:J,3,0)</f>
        <v>Rede de água com padrão de entrada d'água diâm. 3/4", conf. espec. CESAN, incl. tubos e conexões para alimentação, distribuição, extravasor e limpeza, cons. o padrão a 25m, conf. projeto (1 utilização)</v>
      </c>
      <c r="D20" s="256" t="str">
        <f>VLOOKUP(B20,'PLANILHA ORÇAMENTARIA'!B:J,5,0)</f>
        <v>m</v>
      </c>
      <c r="E20" s="38">
        <v>15</v>
      </c>
      <c r="F20" s="241"/>
      <c r="G20" s="241"/>
      <c r="H20" s="241"/>
      <c r="I20" s="241"/>
      <c r="J20" s="242"/>
      <c r="K20" s="243">
        <f>E20</f>
        <v>15</v>
      </c>
    </row>
    <row r="21" spans="1:11" ht="51">
      <c r="B21" s="257" t="s">
        <v>560</v>
      </c>
      <c r="C21" s="255" t="str">
        <f>VLOOKUP(B21,'PLANILHA ORÇAMENTARIA'!B:J,3,0)</f>
        <v>Rede de luz, incl. padrão entrada de energia trifás., cabo de ligação até barracões, quadro de distrib., disj. e chave de força (quando necessário), cons. 20m entre padrão entrada e QDG, conf. projeto (1 utilização)</v>
      </c>
      <c r="D21" s="256" t="str">
        <f>VLOOKUP(B21,'PLANILHA ORÇAMENTARIA'!B:J,5,0)</f>
        <v>m</v>
      </c>
      <c r="E21" s="38">
        <v>15</v>
      </c>
      <c r="F21" s="244"/>
      <c r="G21" s="244"/>
      <c r="H21" s="244"/>
      <c r="I21" s="244"/>
      <c r="J21" s="245"/>
      <c r="K21" s="243">
        <f t="shared" ref="K21:K26" si="0">E21</f>
        <v>15</v>
      </c>
    </row>
    <row r="22" spans="1:11" ht="38.25">
      <c r="B22" s="257" t="s">
        <v>561</v>
      </c>
      <c r="C22" s="255" t="str">
        <f>VLOOKUP(B22,'PLANILHA ORÇAMENTARIA'!B:J,3,0)</f>
        <v>Rede de esgoto, contendo fossa e filtro, inclusive tubos e conexões de ligação entre caixas, considerando distância de 25m, conforme projeto (1 utilização)</v>
      </c>
      <c r="D22" s="256" t="str">
        <f>VLOOKUP(B22,'PLANILHA ORÇAMENTARIA'!B:J,5,0)</f>
        <v>m</v>
      </c>
      <c r="E22" s="38">
        <v>15</v>
      </c>
      <c r="F22" s="246"/>
      <c r="G22" s="246"/>
      <c r="H22" s="246"/>
      <c r="I22" s="246"/>
      <c r="J22" s="247"/>
      <c r="K22" s="243">
        <f t="shared" si="0"/>
        <v>15</v>
      </c>
    </row>
    <row r="23" spans="1:11" ht="51">
      <c r="B23" s="257" t="s">
        <v>562</v>
      </c>
      <c r="C23" s="255" t="str">
        <f>VLOOKUP(B23,'PLANILHA ORÇAMENTARIA'!B:J,3,0)</f>
        <v>Tapume madeira compensada resinada e= 12mm h=2,20m, estr. c/ mad reflorest., incl mont, pintura esmalte sint, adesivo "IOPES" 60x60cm a cada 10m e faixas c/ pintura esmalte sintético nas cores azul c/ h=30cm e rosa c/ h=10cm</v>
      </c>
      <c r="D23" s="256" t="str">
        <f>VLOOKUP(B23,'PLANILHA ORÇAMENTARIA'!B:J,5,0)</f>
        <v>m</v>
      </c>
      <c r="E23" s="38">
        <v>60</v>
      </c>
      <c r="F23" s="246"/>
      <c r="G23" s="246"/>
      <c r="H23" s="246"/>
      <c r="I23" s="246"/>
      <c r="J23" s="247"/>
      <c r="K23" s="243">
        <f t="shared" si="0"/>
        <v>60</v>
      </c>
    </row>
    <row r="24" spans="1:11" ht="63.75">
      <c r="B24" s="257" t="s">
        <v>563</v>
      </c>
      <c r="C24" s="255" t="str">
        <f>VLOOKUP(B24,'PLANILHA ORÇAMENTARIA'!B:J,3,0)</f>
        <v>Aluguel mensal container para escritório, dim. 6.00x2.40m, c/ banheiro (vaso+lavat+chuveiro e básc), incl. porta, 2 janelas, abert p/ ar cond., 2 pt iluminação, 2 tom. elét. e 1 tom.telef. Isolam.térmico(teto e paredes), piso em comp. Naval, cert. NR18, incl. laudo descontaminação.</v>
      </c>
      <c r="D24" s="256" t="str">
        <f>VLOOKUP(B24,'PLANILHA ORÇAMENTARIA'!B:J,5,0)</f>
        <v>ms</v>
      </c>
      <c r="E24" s="38">
        <v>14</v>
      </c>
      <c r="F24" s="246"/>
      <c r="G24" s="246"/>
      <c r="H24" s="246"/>
      <c r="I24" s="246"/>
      <c r="J24" s="247"/>
      <c r="K24" s="243">
        <f t="shared" si="0"/>
        <v>14</v>
      </c>
    </row>
    <row r="25" spans="1:11" ht="38.25">
      <c r="B25" s="257" t="s">
        <v>564</v>
      </c>
      <c r="C25" s="255" t="str">
        <f>VLOOKUP(B25,'PLANILHA ORÇAMENTARIA'!B:J,3,0)</f>
        <v>EXECUÇÃO DE SANITÁRIO E VESTIÁRIO EM CANTEIRO DE OBRA EM CHAPA DE MADEIRA COMPENSADA, NÃO INCLUSO MOBILIÁRIO. AF_02/2016</v>
      </c>
      <c r="D25" s="256" t="str">
        <f>VLOOKUP(B25,'PLANILHA ORÇAMENTARIA'!B:J,5,0)</f>
        <v>m²</v>
      </c>
      <c r="E25" s="38">
        <v>10</v>
      </c>
      <c r="F25" s="246"/>
      <c r="G25" s="246"/>
      <c r="H25" s="246"/>
      <c r="I25" s="246"/>
      <c r="J25" s="248"/>
      <c r="K25" s="243">
        <f t="shared" si="0"/>
        <v>10</v>
      </c>
    </row>
    <row r="26" spans="1:11" ht="51">
      <c r="B26" s="257" t="s">
        <v>565</v>
      </c>
      <c r="C26" s="255" t="str">
        <f>VLOOKUP(B26,'PLANILHA ORÇAMENTARIA'!B:J,3,0)</f>
        <v>Galpão para serraria e carpintaria área 12.00m2, em peça de madeira 8x8cm e contraventamento de 5x7cm, cobertura de telha de fibroc. de 6mm, inclusive ponto e cabo de alimentação da máquina, conf. projeto (1 utilização)</v>
      </c>
      <c r="D26" s="256" t="str">
        <f>VLOOKUP(B26,'PLANILHA ORÇAMENTARIA'!B:J,5,0)</f>
        <v>m²</v>
      </c>
      <c r="E26" s="38">
        <v>12</v>
      </c>
      <c r="F26" s="246"/>
      <c r="G26" s="246"/>
      <c r="H26" s="246"/>
      <c r="I26" s="246"/>
      <c r="J26" s="247"/>
      <c r="K26" s="243">
        <f t="shared" si="0"/>
        <v>12</v>
      </c>
    </row>
    <row r="27" spans="1:11" ht="51">
      <c r="B27" s="257" t="s">
        <v>715</v>
      </c>
      <c r="C27" s="255" t="str">
        <f>VLOOKUP(B27,'PLANILHA ORÇAMENTARIA'!B:J,3,0)</f>
        <v>Galpão para corte e armação com área de 6.00m2, em peças de madeira 8x8cm e contraventamento de 5x7cm, cobertura de telhas de fibroc. de 6mm, inclusive ponto e cabo de alimentação da máquina, conf. projeto (1 utilização)</v>
      </c>
      <c r="D27" s="256" t="str">
        <f>VLOOKUP(B27,'PLANILHA ORÇAMENTARIA'!B:J,5,0)</f>
        <v>m²</v>
      </c>
      <c r="E27" s="38">
        <v>6</v>
      </c>
      <c r="F27" s="246"/>
      <c r="G27" s="246"/>
      <c r="H27" s="246"/>
      <c r="I27" s="246"/>
      <c r="J27" s="247"/>
      <c r="K27" s="243">
        <f t="shared" ref="K27:K28" si="1">E27</f>
        <v>6</v>
      </c>
    </row>
    <row r="28" spans="1:11" ht="51">
      <c r="B28" s="257" t="s">
        <v>716</v>
      </c>
      <c r="C28" s="255" t="str">
        <f>VLOOKUP(B28,'PLANILHA ORÇAMENTARIA'!B:J,3,0)</f>
        <v>Barracão para almoxarifado área de 10.90m2, de chapa de compensado de 12mm e pontalete 8x8cm, piso cimentado e cobertura de telhas de fibrocimento de 6mm, incl. ponto de luz, conf. projeto (1 utilização</v>
      </c>
      <c r="D28" s="256" t="str">
        <f>VLOOKUP(B28,'PLANILHA ORÇAMENTARIA'!B:J,5,0)</f>
        <v>m²</v>
      </c>
      <c r="E28" s="38">
        <v>10.9</v>
      </c>
      <c r="F28" s="246"/>
      <c r="G28" s="246"/>
      <c r="H28" s="246"/>
      <c r="I28" s="246"/>
      <c r="J28" s="247"/>
      <c r="K28" s="243">
        <f t="shared" si="1"/>
        <v>10.9</v>
      </c>
    </row>
    <row r="29" spans="1:11" ht="51">
      <c r="B29" s="257" t="s">
        <v>717</v>
      </c>
      <c r="C29" s="255" t="str">
        <f>VLOOKUP(B29,'PLANILHA ORÇAMENTARIA'!B:J,3,0)</f>
        <v>Refeitório com paredes de chapa de compens. 12mm e pontaletes 8x8cm, piso ciment. e cob. de telhas fibroc. 6mm, incl. ponto de luz e cx. de inspeção (cons. 1.21 m2/func./turno), conf. projeto (1 utilização)</v>
      </c>
      <c r="D29" s="256" t="str">
        <f>VLOOKUP(B29,'PLANILHA ORÇAMENTARIA'!B:J,5,0)</f>
        <v>m²</v>
      </c>
      <c r="E29" s="38">
        <v>15</v>
      </c>
      <c r="F29" s="246"/>
      <c r="G29" s="246"/>
      <c r="H29" s="246"/>
      <c r="I29" s="246"/>
      <c r="J29" s="247"/>
      <c r="K29" s="243">
        <f t="shared" ref="K29" si="2">E29</f>
        <v>15</v>
      </c>
    </row>
    <row r="30" spans="1:11" ht="25.5">
      <c r="B30" s="257" t="s">
        <v>718</v>
      </c>
      <c r="C30" s="255" t="str">
        <f>VLOOKUP(B30,'PLANILHA ORÇAMENTARIA'!B:J,3,0)</f>
        <v>Reservatório de poliestileno de 1000 L, incl. suporte em madeira de 7x12cm e 8x7cm, elevado de 4m, conf. projeto (1 utilização)</v>
      </c>
      <c r="D30" s="256" t="str">
        <f>VLOOKUP(B30,'PLANILHA ORÇAMENTARIA'!B:J,5,0)</f>
        <v>und</v>
      </c>
      <c r="E30" s="38">
        <v>2</v>
      </c>
      <c r="F30" s="246"/>
      <c r="G30" s="246"/>
      <c r="H30" s="246"/>
      <c r="I30" s="246"/>
      <c r="J30" s="247"/>
      <c r="K30" s="243">
        <f t="shared" ref="K30" si="3">E30</f>
        <v>2</v>
      </c>
    </row>
    <row r="31" spans="1:11">
      <c r="A31" s="22"/>
      <c r="B31" s="234" t="s">
        <v>500</v>
      </c>
      <c r="C31" s="297" t="str">
        <f>VLOOKUP(B31,'PLANILHA ORÇAMENTARIA'!B:J,2,0)</f>
        <v>DEMOLIÇÕES E RETIRADAS</v>
      </c>
      <c r="D31" s="236"/>
      <c r="E31" s="236"/>
      <c r="F31" s="237"/>
      <c r="G31" s="237"/>
      <c r="H31" s="237"/>
      <c r="I31" s="237"/>
      <c r="J31" s="235"/>
      <c r="K31" s="238"/>
    </row>
    <row r="32" spans="1:11">
      <c r="B32" s="258" t="s">
        <v>566</v>
      </c>
      <c r="C32" s="255" t="str">
        <f>VLOOKUP(B32,'PLANILHA ORÇAMENTARIA'!B:J,3,0)</f>
        <v>Demolição de alvenaria</v>
      </c>
      <c r="D32" s="256" t="str">
        <f>VLOOKUP(B32,'PLANILHA ORÇAMENTARIA'!B:J,5,0)</f>
        <v>m³</v>
      </c>
      <c r="E32" s="38">
        <v>180</v>
      </c>
      <c r="F32" s="246"/>
      <c r="G32" s="246"/>
      <c r="H32" s="246"/>
      <c r="I32" s="246"/>
      <c r="J32" s="247"/>
      <c r="K32" s="243">
        <f t="shared" ref="K32:K42" si="4">E32</f>
        <v>180</v>
      </c>
    </row>
    <row r="33" spans="1:11">
      <c r="B33" s="258" t="s">
        <v>569</v>
      </c>
      <c r="C33" s="255" t="str">
        <f>VLOOKUP(B33,'PLANILHA ORÇAMENTARIA'!B:J,3,0)</f>
        <v>Demolição manual de concreto armado (EMOP 05.001.033)</v>
      </c>
      <c r="D33" s="256" t="str">
        <f>VLOOKUP(B33,'PLANILHA ORÇAMENTARIA'!B:J,5,0)</f>
        <v>m³</v>
      </c>
      <c r="E33" s="38">
        <v>4.58</v>
      </c>
      <c r="F33" s="246"/>
      <c r="G33" s="246"/>
      <c r="H33" s="246"/>
      <c r="I33" s="246"/>
      <c r="J33" s="247"/>
      <c r="K33" s="243">
        <f t="shared" si="4"/>
        <v>4.58</v>
      </c>
    </row>
    <row r="34" spans="1:11">
      <c r="B34" s="258" t="s">
        <v>570</v>
      </c>
      <c r="C34" s="255" t="str">
        <f>VLOOKUP(B34,'PLANILHA ORÇAMENTARIA'!B:J,3,0)</f>
        <v>Demolição de divisória de granito</v>
      </c>
      <c r="D34" s="256" t="str">
        <f>VLOOKUP(B34,'PLANILHA ORÇAMENTARIA'!B:J,5,0)</f>
        <v>m²</v>
      </c>
      <c r="E34" s="38">
        <v>10.14</v>
      </c>
      <c r="F34" s="246"/>
      <c r="G34" s="246"/>
      <c r="H34" s="246"/>
      <c r="I34" s="246"/>
      <c r="J34" s="247"/>
      <c r="K34" s="243">
        <f t="shared" si="4"/>
        <v>10.14</v>
      </c>
    </row>
    <row r="35" spans="1:11">
      <c r="B35" s="258" t="s">
        <v>571</v>
      </c>
      <c r="C35" s="255" t="str">
        <f>VLOOKUP(B35,'PLANILHA ORÇAMENTARIA'!B:J,3,0)</f>
        <v>Demolição de piso granilite</v>
      </c>
      <c r="D35" s="256" t="str">
        <f>VLOOKUP(B35,'PLANILHA ORÇAMENTARIA'!B:J,5,0)</f>
        <v>m²</v>
      </c>
      <c r="E35" s="38">
        <v>911.46</v>
      </c>
      <c r="F35" s="246"/>
      <c r="G35" s="246"/>
      <c r="H35" s="246"/>
      <c r="I35" s="246"/>
      <c r="J35" s="247"/>
      <c r="K35" s="243">
        <f t="shared" si="4"/>
        <v>911.46</v>
      </c>
    </row>
    <row r="36" spans="1:11">
      <c r="B36" s="258" t="s">
        <v>572</v>
      </c>
      <c r="C36" s="255" t="str">
        <f>VLOOKUP(B36,'PLANILHA ORÇAMENTARIA'!B:J,3,0)</f>
        <v>Demolição de laje pré-moldada de concreto</v>
      </c>
      <c r="D36" s="256" t="str">
        <f>VLOOKUP(B36,'PLANILHA ORÇAMENTARIA'!B:J,5,0)</f>
        <v>m²</v>
      </c>
      <c r="E36" s="38">
        <v>443.28</v>
      </c>
      <c r="F36" s="246"/>
      <c r="G36" s="246"/>
      <c r="H36" s="246"/>
      <c r="I36" s="246"/>
      <c r="J36" s="247"/>
      <c r="K36" s="243">
        <f t="shared" si="4"/>
        <v>443.28</v>
      </c>
    </row>
    <row r="37" spans="1:11">
      <c r="B37" s="258" t="s">
        <v>573</v>
      </c>
      <c r="C37" s="255" t="str">
        <f>VLOOKUP(B37,'PLANILHA ORÇAMENTARIA'!B:J,3,0)</f>
        <v>Remoção de telha ondulada de fibrocimento, inclusive cumeeira</v>
      </c>
      <c r="D37" s="256" t="str">
        <f>VLOOKUP(B37,'PLANILHA ORÇAMENTARIA'!B:J,5,0)</f>
        <v>m²</v>
      </c>
      <c r="E37" s="38">
        <v>1258.1500000000001</v>
      </c>
      <c r="F37" s="246"/>
      <c r="G37" s="246"/>
      <c r="H37" s="246"/>
      <c r="I37" s="246"/>
      <c r="J37" s="247"/>
      <c r="K37" s="243">
        <f t="shared" si="4"/>
        <v>1258.1500000000001</v>
      </c>
    </row>
    <row r="38" spans="1:11">
      <c r="B38" s="258" t="s">
        <v>574</v>
      </c>
      <c r="C38" s="255" t="str">
        <f>VLOOKUP(B38,'PLANILHA ORÇAMENTARIA'!B:J,3,0)</f>
        <v>Retirada de estrutura em madeira do telhado</v>
      </c>
      <c r="D38" s="256" t="str">
        <f>VLOOKUP(B38,'PLANILHA ORÇAMENTARIA'!B:J,5,0)</f>
        <v>m²</v>
      </c>
      <c r="E38" s="38">
        <v>1258.1500000000001</v>
      </c>
      <c r="F38" s="246"/>
      <c r="G38" s="246"/>
      <c r="H38" s="246"/>
      <c r="I38" s="246"/>
      <c r="J38" s="247"/>
      <c r="K38" s="243">
        <f t="shared" si="4"/>
        <v>1258.1500000000001</v>
      </c>
    </row>
    <row r="39" spans="1:11">
      <c r="B39" s="258" t="s">
        <v>575</v>
      </c>
      <c r="C39" s="255" t="str">
        <f>VLOOKUP(B39,'PLANILHA ORÇAMENTARIA'!B:J,3,0)</f>
        <v>Retirada de grades, gradis, alambrados, cercas e portões</v>
      </c>
      <c r="D39" s="256" t="str">
        <f>VLOOKUP(B39,'PLANILHA ORÇAMENTARIA'!B:J,5,0)</f>
        <v>m²</v>
      </c>
      <c r="E39" s="38">
        <v>15.27</v>
      </c>
      <c r="F39" s="246"/>
      <c r="G39" s="246"/>
      <c r="H39" s="246"/>
      <c r="I39" s="246"/>
      <c r="J39" s="247"/>
      <c r="K39" s="243">
        <f t="shared" si="4"/>
        <v>15.27</v>
      </c>
    </row>
    <row r="40" spans="1:11">
      <c r="B40" s="258" t="s">
        <v>583</v>
      </c>
      <c r="C40" s="255" t="str">
        <f>VLOOKUP(B40,'PLANILHA ORÇAMENTARIA'!B:J,3,0)</f>
        <v>Retirada de portas e janelas de madeira, inclusive batentes</v>
      </c>
      <c r="D40" s="256" t="str">
        <f>VLOOKUP(B40,'PLANILHA ORÇAMENTARIA'!B:J,5,0)</f>
        <v>m²</v>
      </c>
      <c r="E40" s="38">
        <v>199.99</v>
      </c>
      <c r="F40" s="246"/>
      <c r="G40" s="246"/>
      <c r="H40" s="246"/>
      <c r="I40" s="246"/>
      <c r="J40" s="247"/>
      <c r="K40" s="243">
        <f t="shared" si="4"/>
        <v>199.99</v>
      </c>
    </row>
    <row r="41" spans="1:11">
      <c r="B41" s="258" t="s">
        <v>584</v>
      </c>
      <c r="C41" s="255" t="str">
        <f>VLOOKUP(B41,'PLANILHA ORÇAMENTARIA'!B:J,3,0)</f>
        <v>Retirada de aparelhos sanitários</v>
      </c>
      <c r="D41" s="256" t="str">
        <f>VLOOKUP(B41,'PLANILHA ORÇAMENTARIA'!B:J,5,0)</f>
        <v>und</v>
      </c>
      <c r="E41" s="38">
        <v>21</v>
      </c>
      <c r="F41" s="246"/>
      <c r="G41" s="246"/>
      <c r="H41" s="246"/>
      <c r="I41" s="246"/>
      <c r="J41" s="247"/>
      <c r="K41" s="243">
        <f t="shared" si="4"/>
        <v>21</v>
      </c>
    </row>
    <row r="42" spans="1:11">
      <c r="B42" s="258" t="s">
        <v>585</v>
      </c>
      <c r="C42" s="255" t="str">
        <f>VLOOKUP(B42,'PLANILHA ORÇAMENTARIA'!B:J,3,0)</f>
        <v>Retirada de bancada de pia</v>
      </c>
      <c r="D42" s="256" t="str">
        <f>VLOOKUP(B42,'PLANILHA ORÇAMENTARIA'!B:J,5,0)</f>
        <v>m²</v>
      </c>
      <c r="E42" s="38">
        <v>2.9</v>
      </c>
      <c r="F42" s="246"/>
      <c r="G42" s="246"/>
      <c r="H42" s="246"/>
      <c r="I42" s="246"/>
      <c r="J42" s="247"/>
      <c r="K42" s="243">
        <f t="shared" si="4"/>
        <v>2.9</v>
      </c>
    </row>
    <row r="43" spans="1:11">
      <c r="A43" s="22"/>
      <c r="B43" s="234">
        <v>2</v>
      </c>
      <c r="C43" s="297" t="str">
        <f>VLOOKUP(B43,'PLANILHA ORÇAMENTARIA'!B:J,2,0)</f>
        <v>MOVIMENTAÇÃO DE TERRA</v>
      </c>
      <c r="D43" s="236"/>
      <c r="E43" s="236"/>
      <c r="F43" s="237"/>
      <c r="G43" s="237"/>
      <c r="H43" s="237"/>
      <c r="I43" s="237"/>
      <c r="J43" s="235"/>
      <c r="K43" s="238"/>
    </row>
    <row r="44" spans="1:11" ht="25.5">
      <c r="B44" s="257" t="s">
        <v>502</v>
      </c>
      <c r="C44" s="255" t="str">
        <f>VLOOKUP(B44,'PLANILHA ORÇAMENTARIA'!B:J,3,0)</f>
        <v>Aterro compactado utilizando compactador de placa vibratória com reaproveitamento do material</v>
      </c>
      <c r="D44" s="256" t="str">
        <f>VLOOKUP(B44,'PLANILHA ORÇAMENTARIA'!B:J,5,0)</f>
        <v>m³</v>
      </c>
      <c r="E44" s="249">
        <v>20</v>
      </c>
      <c r="F44" s="244"/>
      <c r="G44" s="244"/>
      <c r="H44" s="244"/>
      <c r="I44" s="244"/>
      <c r="J44" s="248" t="s">
        <v>503</v>
      </c>
      <c r="K44" s="250">
        <f>E44</f>
        <v>20</v>
      </c>
    </row>
    <row r="45" spans="1:11" ht="25.5">
      <c r="B45" s="257" t="s">
        <v>554</v>
      </c>
      <c r="C45" s="255" t="str">
        <f>VLOOKUP(B45,'PLANILHA ORÇAMENTARIA'!B:J,3,0)</f>
        <v>Escavação manual em material de 1a. categoria, até 1.50 m de profundidade</v>
      </c>
      <c r="D45" s="256" t="str">
        <f>VLOOKUP(B45,'PLANILHA ORÇAMENTARIA'!B:J,5,0)</f>
        <v>m³</v>
      </c>
      <c r="E45" s="38">
        <v>233.23</v>
      </c>
      <c r="F45" s="246"/>
      <c r="G45" s="246"/>
      <c r="H45" s="246"/>
      <c r="I45" s="246"/>
      <c r="J45" s="248" t="s">
        <v>501</v>
      </c>
      <c r="K45" s="250">
        <f t="shared" ref="K45:K46" si="5">E45</f>
        <v>233.23</v>
      </c>
    </row>
    <row r="46" spans="1:11">
      <c r="B46" s="257" t="s">
        <v>555</v>
      </c>
      <c r="C46" s="255" t="str">
        <f>VLOOKUP(B46,'PLANILHA ORÇAMENTARIA'!B:J,3,0)</f>
        <v>Reaterro apiloado de cavas de fundação, em camadas de 20 cm</v>
      </c>
      <c r="D46" s="256" t="str">
        <f>VLOOKUP(B46,'PLANILHA ORÇAMENTARIA'!B:J,5,0)</f>
        <v>m³</v>
      </c>
      <c r="E46" s="38">
        <v>173.11</v>
      </c>
      <c r="F46" s="246"/>
      <c r="G46" s="246"/>
      <c r="H46" s="246"/>
      <c r="I46" s="246"/>
      <c r="J46" s="259" t="s">
        <v>501</v>
      </c>
      <c r="K46" s="250">
        <f t="shared" si="5"/>
        <v>173.11</v>
      </c>
    </row>
    <row r="47" spans="1:11">
      <c r="A47" s="22"/>
      <c r="B47" s="234">
        <v>3</v>
      </c>
      <c r="C47" s="297" t="str">
        <f>VLOOKUP(B47,'PLANILHA ORÇAMENTARIA'!B:J,2,0)</f>
        <v>INFRAESTRUTURA</v>
      </c>
      <c r="D47" s="236"/>
      <c r="E47" s="236"/>
      <c r="F47" s="237"/>
      <c r="G47" s="237"/>
      <c r="H47" s="237"/>
      <c r="I47" s="237"/>
      <c r="J47" s="235"/>
      <c r="K47" s="238"/>
    </row>
    <row r="48" spans="1:11" ht="25.5">
      <c r="B48" s="258" t="s">
        <v>117</v>
      </c>
      <c r="C48" s="255" t="str">
        <f>VLOOKUP(B48,'PLANILHA ORÇAMENTARIA'!B:J,3,0)</f>
        <v>Fornecimento, dobragem e colocação em fôrma, de armadura CA-50 A média, diâmetro de 6.3 a 10.0 mm</v>
      </c>
      <c r="D48" s="256" t="str">
        <f>VLOOKUP(B48,'PLANILHA ORÇAMENTARIA'!B:J,5,0)</f>
        <v>kg</v>
      </c>
      <c r="E48" s="38">
        <v>1330.4</v>
      </c>
      <c r="F48" s="244"/>
      <c r="G48" s="244"/>
      <c r="H48" s="244"/>
      <c r="I48" s="244"/>
      <c r="J48" s="248" t="s">
        <v>501</v>
      </c>
      <c r="K48" s="250">
        <f>E48</f>
        <v>1330.4</v>
      </c>
    </row>
    <row r="49" spans="1:11" ht="25.5">
      <c r="B49" s="258" t="s">
        <v>118</v>
      </c>
      <c r="C49" s="255" t="str">
        <f>VLOOKUP(B49,'PLANILHA ORÇAMENTARIA'!B:J,3,0)</f>
        <v>Fornecimento, dobragem e colocação em fôrma, de armadura CA-60 B fina, diâmetro de 4.0 a 7.0mm</v>
      </c>
      <c r="D49" s="256" t="str">
        <f>VLOOKUP(B49,'PLANILHA ORÇAMENTARIA'!B:J,5,0)</f>
        <v>kg</v>
      </c>
      <c r="E49" s="38">
        <v>1085.4000000000001</v>
      </c>
      <c r="F49" s="246"/>
      <c r="G49" s="246"/>
      <c r="H49" s="246"/>
      <c r="I49" s="246"/>
      <c r="J49" s="248" t="s">
        <v>501</v>
      </c>
      <c r="K49" s="250">
        <f t="shared" ref="K49:K51" si="6">E49</f>
        <v>1085.4000000000001</v>
      </c>
    </row>
    <row r="50" spans="1:11" ht="38.25">
      <c r="B50" s="258" t="s">
        <v>202</v>
      </c>
      <c r="C50" s="255" t="str">
        <f>VLOOKUP(B50,'PLANILHA ORÇAMENTARIA'!B:J,3,0)</f>
        <v>Fôrma de tábua de madeira de 2.5x30.0cm, levando-se em conta utilização 3 vezes (incluindo o material, corte, montagem, escoramento e desforma)</v>
      </c>
      <c r="D50" s="256" t="str">
        <f>VLOOKUP(B50,'PLANILHA ORÇAMENTARIA'!B:J,5,0)</f>
        <v>m²</v>
      </c>
      <c r="E50" s="38">
        <v>115.5</v>
      </c>
      <c r="F50" s="246"/>
      <c r="G50" s="246"/>
      <c r="H50" s="246"/>
      <c r="I50" s="246"/>
      <c r="J50" s="248" t="s">
        <v>501</v>
      </c>
      <c r="K50" s="250">
        <f t="shared" si="6"/>
        <v>115.5</v>
      </c>
    </row>
    <row r="51" spans="1:11" ht="38.25">
      <c r="B51" s="258" t="s">
        <v>203</v>
      </c>
      <c r="C51" s="255" t="str">
        <f>VLOOKUP(B51,'PLANILHA ORÇAMENTARIA'!B:J,3,0)</f>
        <v>Fornecimento e aplicação de concreto USINADO Fck=30 MPa - considerando lançamento MANUAL para INFRA-ESTRUTURA (5% de perdas já incluído no custo)</v>
      </c>
      <c r="D51" s="256" t="str">
        <f>VLOOKUP(B51,'PLANILHA ORÇAMENTARIA'!B:J,5,0)</f>
        <v>m³</v>
      </c>
      <c r="E51" s="38">
        <v>64.7</v>
      </c>
      <c r="F51" s="246"/>
      <c r="G51" s="246"/>
      <c r="H51" s="246"/>
      <c r="I51" s="246"/>
      <c r="J51" s="248" t="s">
        <v>501</v>
      </c>
      <c r="K51" s="250">
        <f t="shared" si="6"/>
        <v>64.7</v>
      </c>
    </row>
    <row r="52" spans="1:11">
      <c r="A52" s="22"/>
      <c r="B52" s="234">
        <v>4</v>
      </c>
      <c r="C52" s="297" t="str">
        <f>VLOOKUP(B52,'PLANILHA ORÇAMENTARIA'!B:J,2,0)</f>
        <v>SUPERESTRUTURA</v>
      </c>
      <c r="D52" s="236"/>
      <c r="E52" s="236"/>
      <c r="F52" s="237"/>
      <c r="G52" s="237"/>
      <c r="H52" s="237"/>
      <c r="I52" s="237"/>
      <c r="J52" s="235"/>
      <c r="K52" s="238"/>
    </row>
    <row r="53" spans="1:11" ht="25.5">
      <c r="B53" s="258" t="s">
        <v>119</v>
      </c>
      <c r="C53" s="255" t="str">
        <f>VLOOKUP(B53,'PLANILHA ORÇAMENTARIA'!B:J,3,0)</f>
        <v>Fornecimento, dobragem e colocação em fôrma, de armadura CA-50 A média, diâmetro de 6.3 a 10.0 mm</v>
      </c>
      <c r="D53" s="256" t="str">
        <f>VLOOKUP(B53,'PLANILHA ORÇAMENTARIA'!B:J,5,0)</f>
        <v>kg</v>
      </c>
      <c r="E53" s="38">
        <v>7913.4</v>
      </c>
      <c r="F53" s="244"/>
      <c r="G53" s="244"/>
      <c r="H53" s="244"/>
      <c r="I53" s="244"/>
      <c r="J53" s="248" t="s">
        <v>501</v>
      </c>
      <c r="K53" s="250">
        <f>E53</f>
        <v>7913.4</v>
      </c>
    </row>
    <row r="54" spans="1:11" ht="25.5">
      <c r="B54" s="258" t="s">
        <v>120</v>
      </c>
      <c r="C54" s="255" t="str">
        <f>VLOOKUP(B54,'PLANILHA ORÇAMENTARIA'!B:J,3,0)</f>
        <v>Fornecimento, dobragem e colocação em fôrma, de armadura CA-60 B fina, diâmetro de 4.0 a 7.0mm</v>
      </c>
      <c r="D54" s="256" t="str">
        <f>VLOOKUP(B54,'PLANILHA ORÇAMENTARIA'!B:J,5,0)</f>
        <v>kg</v>
      </c>
      <c r="E54" s="38">
        <v>4394.1000000000004</v>
      </c>
      <c r="F54" s="246"/>
      <c r="G54" s="246"/>
      <c r="H54" s="246"/>
      <c r="I54" s="246"/>
      <c r="J54" s="248" t="s">
        <v>501</v>
      </c>
      <c r="K54" s="250">
        <f t="shared" ref="K54:K60" si="7">E54</f>
        <v>4394.1000000000004</v>
      </c>
    </row>
    <row r="55" spans="1:11" ht="38.25">
      <c r="B55" s="258" t="s">
        <v>181</v>
      </c>
      <c r="C55" s="255" t="str">
        <f>VLOOKUP(B55,'PLANILHA ORÇAMENTARIA'!B:J,3,0)</f>
        <v>Fôrma de tábua de madeira de 2.5x30.0cm, levando-se em conta utilização 3 vezes (incluindo o material, corte, montagem, escoramento e desforma)</v>
      </c>
      <c r="D55" s="256" t="str">
        <f>VLOOKUP(B55,'PLANILHA ORÇAMENTARIA'!B:J,5,0)</f>
        <v>m²</v>
      </c>
      <c r="E55" s="38">
        <v>689</v>
      </c>
      <c r="F55" s="246"/>
      <c r="G55" s="246"/>
      <c r="H55" s="246"/>
      <c r="I55" s="246"/>
      <c r="J55" s="248" t="s">
        <v>501</v>
      </c>
      <c r="K55" s="250">
        <f t="shared" si="7"/>
        <v>689</v>
      </c>
    </row>
    <row r="56" spans="1:11" ht="38.25">
      <c r="B56" s="258" t="s">
        <v>182</v>
      </c>
      <c r="C56" s="255" t="str">
        <f>VLOOKUP(B56,'PLANILHA ORÇAMENTARIA'!B:J,3,0)</f>
        <v>Fornecimento e aplicação de concreto USINADO Fck=30 MPa - considerando lançamento MANUAL para INFRA-ESTRUTURA (5% de perdas já incluído no custo)</v>
      </c>
      <c r="D56" s="256" t="str">
        <f>VLOOKUP(B56,'PLANILHA ORÇAMENTARIA'!B:J,5,0)</f>
        <v>m³</v>
      </c>
      <c r="E56" s="38">
        <v>201.3</v>
      </c>
      <c r="F56" s="246"/>
      <c r="G56" s="246"/>
      <c r="H56" s="246"/>
      <c r="I56" s="246"/>
      <c r="J56" s="248" t="s">
        <v>501</v>
      </c>
      <c r="K56" s="250">
        <f t="shared" si="7"/>
        <v>201.3</v>
      </c>
    </row>
    <row r="57" spans="1:11">
      <c r="A57" s="22"/>
      <c r="B57" s="234">
        <v>5</v>
      </c>
      <c r="C57" s="297" t="str">
        <f>VLOOKUP(B57,'PLANILHA ORÇAMENTARIA'!B:J,2,0)</f>
        <v>SISTEMA DE VEDAÇÃO VERTICAL</v>
      </c>
      <c r="D57" s="236"/>
      <c r="E57" s="236"/>
      <c r="F57" s="237"/>
      <c r="G57" s="237"/>
      <c r="H57" s="237"/>
      <c r="I57" s="237"/>
      <c r="J57" s="235"/>
      <c r="K57" s="238"/>
    </row>
    <row r="58" spans="1:11" ht="38.25">
      <c r="B58" s="258" t="s">
        <v>156</v>
      </c>
      <c r="C58" s="255" t="str">
        <f>VLOOKUP(B58,'PLANILHA ORÇAMENTARIA'!B:J,3,0)</f>
        <v>ALVENARIA DE VEDAÇÃO DE BLOCOS CERÂMICOS FURADOS NA VERTICAL DE 9X19X39 CM (ESPESSURA 9 CM) E ARGAMASSA DE ASSENTAMENTO COM PREPARO EM BETONEIRA. AF_12/2021</v>
      </c>
      <c r="D58" s="256" t="str">
        <f>VLOOKUP(B58,'PLANILHA ORÇAMENTARIA'!B:J,5,0)</f>
        <v>m²</v>
      </c>
      <c r="E58" s="38">
        <v>1592.75</v>
      </c>
      <c r="F58" s="244"/>
      <c r="G58" s="244"/>
      <c r="H58" s="244"/>
      <c r="I58" s="244"/>
      <c r="J58" s="248" t="s">
        <v>504</v>
      </c>
      <c r="K58" s="250">
        <f t="shared" ref="K58" si="8">E58</f>
        <v>1592.75</v>
      </c>
    </row>
    <row r="59" spans="1:11" ht="38.25">
      <c r="B59" s="258" t="s">
        <v>121</v>
      </c>
      <c r="C59" s="255" t="str">
        <f>VLOOKUP(B59,'PLANILHA ORÇAMENTARIA'!B:J,3,0)</f>
        <v xml:space="preserve"> ALVENARIA DE VEDAÇÃO DE BLOCOS CERÂMICOS FURADOS NA VERTICAL DE 19X19X39 CM (ESPESSURA 19 CM) E ARGAMASSA DE ASSENTAMENTO COM PREPARO EM BETONEIRA. AF_12/2021</v>
      </c>
      <c r="D59" s="256" t="str">
        <f>VLOOKUP(B59,'PLANILHA ORÇAMENTARIA'!B:J,5,0)</f>
        <v>m²</v>
      </c>
      <c r="E59" s="38">
        <v>38.630000000000003</v>
      </c>
      <c r="F59" s="244"/>
      <c r="G59" s="244"/>
      <c r="H59" s="244"/>
      <c r="I59" s="244"/>
      <c r="J59" s="248" t="s">
        <v>504</v>
      </c>
      <c r="K59" s="250">
        <f t="shared" si="7"/>
        <v>38.630000000000003</v>
      </c>
    </row>
    <row r="60" spans="1:11" ht="25.5">
      <c r="B60" s="258" t="s">
        <v>630</v>
      </c>
      <c r="C60" s="255" t="str">
        <f>VLOOKUP(B60,'PLANILHA ORÇAMENTARIA'!B:J,3,0)</f>
        <v>Divisória de granito com 3 cm de espessura, assentada com argamassa de cimento e areia no traço 1:3, na cor cinza</v>
      </c>
      <c r="D60" s="256" t="str">
        <f>VLOOKUP(B60,'PLANILHA ORÇAMENTARIA'!B:J,5,0)</f>
        <v>m²</v>
      </c>
      <c r="E60" s="38">
        <v>46.86</v>
      </c>
      <c r="F60" s="246"/>
      <c r="G60" s="246"/>
      <c r="H60" s="246"/>
      <c r="I60" s="246"/>
      <c r="J60" s="248" t="s">
        <v>504</v>
      </c>
      <c r="K60" s="250">
        <f t="shared" si="7"/>
        <v>46.86</v>
      </c>
    </row>
    <row r="61" spans="1:11">
      <c r="A61" s="22"/>
      <c r="B61" s="234">
        <v>6</v>
      </c>
      <c r="C61" s="297" t="str">
        <f>VLOOKUP(B61,'PLANILHA ORÇAMENTARIA'!B:J,2,0)</f>
        <v>ESQUADRIAS</v>
      </c>
      <c r="D61" s="236"/>
      <c r="E61" s="236"/>
      <c r="F61" s="237"/>
      <c r="G61" s="237"/>
      <c r="H61" s="237"/>
      <c r="I61" s="237"/>
      <c r="J61" s="235"/>
      <c r="K61" s="238"/>
    </row>
    <row r="62" spans="1:11">
      <c r="A62" s="22"/>
      <c r="B62" s="234" t="s">
        <v>122</v>
      </c>
      <c r="C62" s="297" t="str">
        <f>VLOOKUP(B62,'PLANILHA ORÇAMENTARIA'!B:J,2,0)</f>
        <v>PORTAS DE MADEIRA</v>
      </c>
      <c r="D62" s="236"/>
      <c r="E62" s="236"/>
      <c r="F62" s="237"/>
      <c r="G62" s="237"/>
      <c r="H62" s="237"/>
      <c r="I62" s="237"/>
      <c r="J62" s="235"/>
      <c r="K62" s="238"/>
    </row>
    <row r="63" spans="1:11" ht="63.75">
      <c r="B63" s="258" t="s">
        <v>239</v>
      </c>
      <c r="C63" s="255" t="str">
        <f>VLOOKUP(B63,'PLANILHA ORÇAMENTARIA'!B:J,3,0)</f>
        <v>KIT DE PORTA DE MADEIRA PARA PINTURA, SEMI-OCA (LEVE OU MÉDIA), PADRÃO MÉDIO, 80X210CM, ESPESSURA DE 3,5CM, ITENS INCLUSOS: DOBRADIÇAS, MONTAGEM E INSTALAÇÃO DO BATENTE, FECHADURA COM EXECUÇÃO DO FURO - FORNECIMENTO E INSTALAÇÃO. AF_12/2019</v>
      </c>
      <c r="D63" s="256" t="str">
        <f>VLOOKUP(B63,'PLANILHA ORÇAMENTARIA'!B:J,5,0)</f>
        <v>und</v>
      </c>
      <c r="E63" s="38">
        <v>19</v>
      </c>
      <c r="F63" s="244"/>
      <c r="G63" s="244"/>
      <c r="H63" s="244"/>
      <c r="I63" s="244"/>
      <c r="J63" s="248" t="s">
        <v>504</v>
      </c>
      <c r="K63" s="251">
        <f t="shared" ref="K63:K74" si="9">E63</f>
        <v>19</v>
      </c>
    </row>
    <row r="64" spans="1:11" ht="51">
      <c r="B64" s="258" t="s">
        <v>240</v>
      </c>
      <c r="C64" s="255" t="str">
        <f>VLOOKUP(B64,'PLANILHA ORÇAMENTARIA'!B:J,3,0)</f>
        <v>KIT DE PORTA-PRONTA DE MADEIRA EM ACABAMENTO MELAMÍNICO BRANCO, FOLHA LEVE OU MÉDIA, E BATENTE METÁLICO, 80X210CM, FIXAÇÃO COM ARGAMASSA - FORNECIMENTO E INSTALAÇÃO. AF_12/2019</v>
      </c>
      <c r="D64" s="256" t="str">
        <f>VLOOKUP(B64,'PLANILHA ORÇAMENTARIA'!B:J,5,0)</f>
        <v>und</v>
      </c>
      <c r="E64" s="38">
        <v>4</v>
      </c>
      <c r="F64" s="246"/>
      <c r="G64" s="246"/>
      <c r="H64" s="246"/>
      <c r="I64" s="246"/>
      <c r="J64" s="248" t="s">
        <v>504</v>
      </c>
      <c r="K64" s="251">
        <f t="shared" si="9"/>
        <v>4</v>
      </c>
    </row>
    <row r="65" spans="1:11" ht="63.75">
      <c r="B65" s="258" t="s">
        <v>241</v>
      </c>
      <c r="C65" s="255" t="str">
        <f>VLOOKUP(B65,'PLANILHA ORÇAMENTARIA'!B:J,3,0)</f>
        <v>Porta em madeira de Lei tipo Angelim Pedra ou equiv. c/ enchimento em madeira de 1ª qualidade esp.30mm, com visor de vidro, inclusive alizares, dobradiças e fechaduras externas em latão cromado La Fonte/equiv. exclusive marco, nas dimensões: 0.80 x 2.10 m</v>
      </c>
      <c r="D65" s="256" t="str">
        <f>VLOOKUP(B65,'PLANILHA ORÇAMENTARIA'!B:J,5,0)</f>
        <v>und</v>
      </c>
      <c r="E65" s="38">
        <v>15</v>
      </c>
      <c r="F65" s="246"/>
      <c r="G65" s="246"/>
      <c r="H65" s="246"/>
      <c r="I65" s="246"/>
      <c r="J65" s="248" t="s">
        <v>504</v>
      </c>
      <c r="K65" s="251">
        <f t="shared" si="9"/>
        <v>15</v>
      </c>
    </row>
    <row r="66" spans="1:11" ht="51">
      <c r="B66" s="258" t="s">
        <v>242</v>
      </c>
      <c r="C66" s="255" t="str">
        <f>VLOOKUP(B66,'PLANILHA ORÇAMENTARIA'!B:J,3,0)</f>
        <v>Porta em madeira de lei tipo angelim pedra ou equiv.c/enchimento em madeira 1a.qualidade esp. 30mm p/ pintura, incl. fechadura tipo "livre/ocupado" em latão cromado Lafonte ou equiv. e ferragens p/ fixação em granito, excl. marco, nas dimensões: 0.60 x 1.60 m</v>
      </c>
      <c r="D66" s="256" t="str">
        <f>VLOOKUP(B66,'PLANILHA ORÇAMENTARIA'!B:J,5,0)</f>
        <v>und</v>
      </c>
      <c r="E66" s="38">
        <v>14</v>
      </c>
      <c r="F66" s="246"/>
      <c r="G66" s="246"/>
      <c r="H66" s="246"/>
      <c r="I66" s="246"/>
      <c r="J66" s="248" t="s">
        <v>504</v>
      </c>
      <c r="K66" s="251">
        <f t="shared" si="9"/>
        <v>14</v>
      </c>
    </row>
    <row r="67" spans="1:11" ht="25.5">
      <c r="B67" s="258" t="s">
        <v>724</v>
      </c>
      <c r="C67" s="255" t="str">
        <f>VLOOKUP(B67,'PLANILHA ORÇAMENTARIA'!B:J,3,0)</f>
        <v>Marco de madeira de lei de 1ª (Peroba, Ipê, Angelim Pedra ou equivalente) com 15x3 cm de batente, nas dimensões de 0.80 x 2.10</v>
      </c>
      <c r="D67" s="256" t="str">
        <f>VLOOKUP(B67,'PLANILHA ORÇAMENTARIA'!B:J,5,0)</f>
        <v>und</v>
      </c>
      <c r="E67" s="38">
        <v>15</v>
      </c>
      <c r="F67" s="246"/>
      <c r="G67" s="246"/>
      <c r="H67" s="246"/>
      <c r="I67" s="246"/>
      <c r="J67" s="248" t="s">
        <v>504</v>
      </c>
      <c r="K67" s="251">
        <f t="shared" ref="K67" si="10">E67</f>
        <v>15</v>
      </c>
    </row>
    <row r="68" spans="1:11" ht="25.5">
      <c r="B68" s="258" t="s">
        <v>725</v>
      </c>
      <c r="C68" s="255" t="str">
        <f>VLOOKUP(B68,'PLANILHA ORÇAMENTARIA'!B:J,3,0)</f>
        <v>Marco de madeira de lei de 1ª (Peroba, Ipê, Angelim Pedra ou equivalente)com 15 x 3 cm de batente</v>
      </c>
      <c r="D68" s="256" t="str">
        <f>VLOOKUP(B68,'PLANILHA ORÇAMENTARIA'!B:J,5,0)</f>
        <v>m</v>
      </c>
      <c r="E68" s="38">
        <v>14</v>
      </c>
      <c r="F68" s="246"/>
      <c r="G68" s="246">
        <v>3.2</v>
      </c>
      <c r="H68" s="246"/>
      <c r="I68" s="246"/>
      <c r="J68" s="248" t="s">
        <v>504</v>
      </c>
      <c r="K68" s="251">
        <f>E68*G68</f>
        <v>44.800000000000004</v>
      </c>
    </row>
    <row r="69" spans="1:11">
      <c r="A69" s="22"/>
      <c r="B69" s="234" t="s">
        <v>216</v>
      </c>
      <c r="C69" s="297" t="str">
        <f>VLOOKUP(B69,'PLANILHA ORÇAMENTARIA'!B:J,2,0)</f>
        <v>PORTAS DE ALUMINIO</v>
      </c>
      <c r="D69" s="236"/>
      <c r="E69" s="236"/>
      <c r="F69" s="237"/>
      <c r="G69" s="237"/>
      <c r="H69" s="237"/>
      <c r="I69" s="237"/>
      <c r="J69" s="235"/>
      <c r="K69" s="238"/>
    </row>
    <row r="70" spans="1:11" ht="38.25">
      <c r="B70" s="258" t="s">
        <v>243</v>
      </c>
      <c r="C70" s="255" t="str">
        <f>VLOOKUP(B70,'PLANILHA ORÇAMENTARIA'!B:J,3,0)</f>
        <v>PORTA DE ALUMÍNIO DE ABRIR PARA VIDRO SEM GUARNIÇÃO, 87X210CM, FIXAÇÃO COM PARAFUSOS, INCLUSIVE VIDROS - FORNECIMENTO E INSTALAÇÃO. AF_12/2019</v>
      </c>
      <c r="D70" s="256" t="str">
        <f>VLOOKUP(B70,'PLANILHA ORÇAMENTARIA'!B:J,5,0)</f>
        <v>und</v>
      </c>
      <c r="E70" s="38">
        <v>3</v>
      </c>
      <c r="F70" s="244"/>
      <c r="G70" s="244"/>
      <c r="H70" s="244"/>
      <c r="I70" s="244"/>
      <c r="J70" s="248" t="s">
        <v>504</v>
      </c>
      <c r="K70" s="251">
        <f t="shared" si="9"/>
        <v>3</v>
      </c>
    </row>
    <row r="71" spans="1:11" ht="38.25">
      <c r="B71" s="258" t="s">
        <v>244</v>
      </c>
      <c r="C71" s="255" t="str">
        <f>VLOOKUP(B71,'PLANILHA ORÇAMENTARIA'!B:J,3,0)</f>
        <v>PORTA DE ALUMÍNIO DE ABRIR COM LAMBRI, COM GUARNIÇÃO, FIXAÇÃO COM PARAFUSOS - FORNECIMENTO E INSTALAÇÃO. AF_12/2019</v>
      </c>
      <c r="D71" s="256" t="str">
        <f>VLOOKUP(B71,'PLANILHA ORÇAMENTARIA'!B:J,5,0)</f>
        <v>m²</v>
      </c>
      <c r="E71" s="38">
        <v>3.12</v>
      </c>
      <c r="F71" s="246"/>
      <c r="G71" s="246"/>
      <c r="H71" s="246"/>
      <c r="I71" s="246"/>
      <c r="J71" s="248" t="s">
        <v>504</v>
      </c>
      <c r="K71" s="251">
        <f t="shared" si="9"/>
        <v>3.12</v>
      </c>
    </row>
    <row r="72" spans="1:11">
      <c r="A72" s="22"/>
      <c r="B72" s="234" t="s">
        <v>217</v>
      </c>
      <c r="C72" s="297" t="str">
        <f>VLOOKUP(B72,'PLANILHA ORÇAMENTARIA'!B:J,2,0)</f>
        <v>JANELAS</v>
      </c>
      <c r="D72" s="236"/>
      <c r="E72" s="236"/>
      <c r="F72" s="237"/>
      <c r="G72" s="237"/>
      <c r="H72" s="237"/>
      <c r="I72" s="237"/>
      <c r="J72" s="235"/>
      <c r="K72" s="238"/>
    </row>
    <row r="73" spans="1:11" ht="51">
      <c r="B73" s="258" t="s">
        <v>247</v>
      </c>
      <c r="C73" s="255" t="str">
        <f>VLOOKUP(B73,'PLANILHA ORÇAMENTARIA'!B:J,3,0)</f>
        <v>JANELA DE ALUMÍNIO DE CORRER COM 2 FOLHAS PARA VIDROS, COM VIDROS, BATENTE, ACABAMENTO COM ACETATO OU BRILHANTE E FERRAGENS. EXCLUSIVE ALIZAR E CONTRAMARCO. FORNECIMENTO E INSTALAÇÃO. AF_12/2019</v>
      </c>
      <c r="D73" s="256" t="str">
        <f>VLOOKUP(B73,'PLANILHA ORÇAMENTARIA'!B:J,5,0)</f>
        <v>m²</v>
      </c>
      <c r="E73" s="38">
        <v>110.7</v>
      </c>
      <c r="F73" s="244"/>
      <c r="G73" s="244"/>
      <c r="H73" s="244"/>
      <c r="I73" s="244"/>
      <c r="J73" s="248" t="s">
        <v>504</v>
      </c>
      <c r="K73" s="251">
        <f t="shared" si="9"/>
        <v>110.7</v>
      </c>
    </row>
    <row r="74" spans="1:11" ht="38.25">
      <c r="B74" s="258" t="s">
        <v>251</v>
      </c>
      <c r="C74" s="255" t="str">
        <f>VLOOKUP(B74,'PLANILHA ORÇAMENTARIA'!B:J,3,0)</f>
        <v>JANELA FIXA DE ALUMÍNIO PARA VIDRO, COM VIDRO, BATENTE E FERRAGENS. EXCLUSIVE ACABAMENTO, ALIZAR E CONTRAMARCO. FORNECIMENTO E INSTALAÇÃO. AF_12/2019</v>
      </c>
      <c r="D74" s="256" t="str">
        <f>VLOOKUP(B74,'PLANILHA ORÇAMENTARIA'!B:J,5,0)</f>
        <v>m²</v>
      </c>
      <c r="E74" s="38">
        <v>0.9</v>
      </c>
      <c r="F74" s="246"/>
      <c r="G74" s="246"/>
      <c r="H74" s="246"/>
      <c r="I74" s="246"/>
      <c r="J74" s="248" t="s">
        <v>504</v>
      </c>
      <c r="K74" s="251">
        <f t="shared" si="9"/>
        <v>0.9</v>
      </c>
    </row>
    <row r="75" spans="1:11">
      <c r="A75" s="22"/>
      <c r="B75" s="234" t="s">
        <v>218</v>
      </c>
      <c r="C75" s="297" t="str">
        <f>VLOOKUP(B75,'PLANILHA ORÇAMENTARIA'!B:J,2,0)</f>
        <v>PORTÕES</v>
      </c>
      <c r="D75" s="236"/>
      <c r="E75" s="236"/>
      <c r="F75" s="237"/>
      <c r="G75" s="237"/>
      <c r="H75" s="237"/>
      <c r="I75" s="237"/>
      <c r="J75" s="235"/>
      <c r="K75" s="238"/>
    </row>
    <row r="76" spans="1:11" ht="25.5">
      <c r="B76" s="258" t="s">
        <v>252</v>
      </c>
      <c r="C76" s="255" t="str">
        <f>VLOOKUP(B76,'PLANILHA ORÇAMENTARIA'!B:J,3,0)</f>
        <v>Portão de ferro de abrir em barra chata, inclusive chumbamento</v>
      </c>
      <c r="D76" s="256" t="str">
        <f>VLOOKUP(B76,'PLANILHA ORÇAMENTARIA'!B:J,5,0)</f>
        <v>m²</v>
      </c>
      <c r="E76" s="38">
        <v>17.28</v>
      </c>
      <c r="F76" s="246"/>
      <c r="G76" s="246"/>
      <c r="H76" s="246"/>
      <c r="I76" s="246"/>
      <c r="J76" s="248" t="s">
        <v>504</v>
      </c>
      <c r="K76" s="251">
        <f t="shared" ref="K76:K94" si="11">E76</f>
        <v>17.28</v>
      </c>
    </row>
    <row r="77" spans="1:11" ht="25.5">
      <c r="B77" s="258" t="s">
        <v>254</v>
      </c>
      <c r="C77" s="255" t="str">
        <f>VLOOKUP(B77,'PLANILHA ORÇAMENTARIA'!B:J,3,0)</f>
        <v xml:space="preserve">Grade de ferro em barra chata, inclusive chumbamento </v>
      </c>
      <c r="D77" s="256" t="str">
        <f>VLOOKUP(B77,'PLANILHA ORÇAMENTARIA'!B:J,5,0)</f>
        <v>m²</v>
      </c>
      <c r="E77" s="38">
        <v>32</v>
      </c>
      <c r="F77" s="246"/>
      <c r="G77" s="246"/>
      <c r="H77" s="246"/>
      <c r="I77" s="246"/>
      <c r="J77" s="248" t="s">
        <v>504</v>
      </c>
      <c r="K77" s="251">
        <f t="shared" ref="K77" si="12">E77</f>
        <v>32</v>
      </c>
    </row>
    <row r="78" spans="1:11">
      <c r="A78" s="22"/>
      <c r="B78" s="234">
        <v>7</v>
      </c>
      <c r="C78" s="297" t="str">
        <f>VLOOKUP(B78,'PLANILHA ORÇAMENTARIA'!B:J,2,0)</f>
        <v>COBERTURA</v>
      </c>
      <c r="D78" s="236"/>
      <c r="E78" s="236"/>
      <c r="F78" s="237"/>
      <c r="G78" s="237"/>
      <c r="H78" s="237"/>
      <c r="I78" s="237"/>
      <c r="J78" s="235"/>
      <c r="K78" s="238"/>
    </row>
    <row r="79" spans="1:11" ht="51">
      <c r="B79" s="258" t="s">
        <v>123</v>
      </c>
      <c r="C79" s="255" t="str">
        <f>VLOOKUP(B79,'PLANILHA ORÇAMENTARIA'!B:J,3,0)</f>
        <v>ESTRUTURA TRELIÇADA DE COBERTURA, TIPO FINK, COM LIGAÇÕES SOLDADAS, INCLUSOS PERFIS METÁLICOS, CHAPAS METÁLICAS, MÃO DE OBRA E TRANSPORTE COM GUINDASTE - FORNECIMENTO E INSTALAÇÃO. AF_01/2020_P</v>
      </c>
      <c r="D79" s="256" t="str">
        <f>VLOOKUP(B79,'PLANILHA ORÇAMENTARIA'!B:J,5,0)</f>
        <v>kg</v>
      </c>
      <c r="E79" s="38">
        <v>7805.7</v>
      </c>
      <c r="F79" s="244"/>
      <c r="G79" s="244"/>
      <c r="H79" s="244"/>
      <c r="I79" s="244"/>
      <c r="J79" s="248" t="s">
        <v>501</v>
      </c>
      <c r="K79" s="251">
        <f t="shared" si="11"/>
        <v>7805.7</v>
      </c>
    </row>
    <row r="80" spans="1:11" ht="51">
      <c r="B80" s="258" t="s">
        <v>183</v>
      </c>
      <c r="C80" s="255" t="str">
        <f>VLOOKUP(B80,'PLANILHA ORÇAMENTARIA'!B:J,3,0)</f>
        <v>Estrutura de madeira de lei tipo Paraju, peroba mica, angelim pedra ou equivalente para telhado de telha ondulada de fibrocimento esp. 6mm, com pontaletes e caibros, inclusive tratamento com cupinicida, exclusive telhas</v>
      </c>
      <c r="D80" s="256" t="str">
        <f>VLOOKUP(B80,'PLANILHA ORÇAMENTARIA'!B:J,5,0)</f>
        <v>m²</v>
      </c>
      <c r="E80" s="38">
        <v>1417.63</v>
      </c>
      <c r="F80" s="246"/>
      <c r="G80" s="246"/>
      <c r="H80" s="246"/>
      <c r="I80" s="246"/>
      <c r="J80" s="248" t="s">
        <v>504</v>
      </c>
      <c r="K80" s="251">
        <f t="shared" ref="K80" si="13">E80</f>
        <v>1417.63</v>
      </c>
    </row>
    <row r="81" spans="1:11" ht="25.5">
      <c r="B81" s="258" t="s">
        <v>505</v>
      </c>
      <c r="C81" s="255" t="str">
        <f>VLOOKUP(B81,'PLANILHA ORÇAMENTARIA'!B:J,3,0)</f>
        <v>Cobertura nova de telhas de alumínio trapezoidal, H = 8 cm, esp. 0.5mm, inclusive acessórios de fixação</v>
      </c>
      <c r="D81" s="256" t="str">
        <f>VLOOKUP(B81,'PLANILHA ORÇAMENTARIA'!B:J,5,0)</f>
        <v>m²</v>
      </c>
      <c r="E81" s="38">
        <v>297.89</v>
      </c>
      <c r="F81" s="246"/>
      <c r="G81" s="246"/>
      <c r="H81" s="246"/>
      <c r="I81" s="246"/>
      <c r="J81" s="248" t="s">
        <v>504</v>
      </c>
      <c r="K81" s="251">
        <f t="shared" si="11"/>
        <v>297.89</v>
      </c>
    </row>
    <row r="82" spans="1:11" ht="25.5">
      <c r="B82" s="258" t="s">
        <v>594</v>
      </c>
      <c r="C82" s="255" t="str">
        <f>VLOOKUP(B82,'PLANILHA ORÇAMENTARIA'!B:J,3,0)</f>
        <v>Cobertura nova de telhas onduladas de fibrocimento 8.0mm, inclusive cumeeiras e acessórios de fixação</v>
      </c>
      <c r="D82" s="256" t="str">
        <f>VLOOKUP(B82,'PLANILHA ORÇAMENTARIA'!B:J,5,0)</f>
        <v>m²</v>
      </c>
      <c r="E82" s="38">
        <v>1417.63</v>
      </c>
      <c r="F82" s="246"/>
      <c r="G82" s="246"/>
      <c r="H82" s="246"/>
      <c r="I82" s="246"/>
      <c r="J82" s="248" t="s">
        <v>504</v>
      </c>
      <c r="K82" s="251">
        <f t="shared" si="11"/>
        <v>1417.63</v>
      </c>
    </row>
    <row r="83" spans="1:11" ht="25.5">
      <c r="B83" s="258" t="s">
        <v>595</v>
      </c>
      <c r="C83" s="255" t="str">
        <f>VLOOKUP(B83,'PLANILHA ORÇAMENTARIA'!B:J,3,0)</f>
        <v>Calha em chapa galvanizada com largura de 40 cm</v>
      </c>
      <c r="D83" s="256" t="str">
        <f>VLOOKUP(B83,'PLANILHA ORÇAMENTARIA'!B:J,5,0)</f>
        <v>m</v>
      </c>
      <c r="E83" s="38">
        <v>272.7</v>
      </c>
      <c r="F83" s="246"/>
      <c r="G83" s="246"/>
      <c r="H83" s="246"/>
      <c r="I83" s="246"/>
      <c r="J83" s="248" t="s">
        <v>504</v>
      </c>
      <c r="K83" s="251">
        <f t="shared" si="11"/>
        <v>272.7</v>
      </c>
    </row>
    <row r="84" spans="1:11" ht="25.5">
      <c r="B84" s="258" t="s">
        <v>596</v>
      </c>
      <c r="C84" s="255" t="str">
        <f>VLOOKUP(B84,'PLANILHA ORÇAMENTARIA'!B:J,3,0)</f>
        <v>Rufo de chapa de alumínio esp. 0.5mm, largura de 30cm</v>
      </c>
      <c r="D84" s="256" t="str">
        <f>VLOOKUP(B84,'PLANILHA ORÇAMENTARIA'!B:J,5,0)</f>
        <v>m</v>
      </c>
      <c r="E84" s="38">
        <v>297.64</v>
      </c>
      <c r="F84" s="246"/>
      <c r="G84" s="246"/>
      <c r="H84" s="246"/>
      <c r="I84" s="246"/>
      <c r="J84" s="248" t="s">
        <v>504</v>
      </c>
      <c r="K84" s="251">
        <f t="shared" ref="K84" si="14">E84</f>
        <v>297.64</v>
      </c>
    </row>
    <row r="85" spans="1:11" ht="25.5">
      <c r="B85" s="258" t="s">
        <v>631</v>
      </c>
      <c r="C85" s="255" t="str">
        <f>VLOOKUP(B85,'PLANILHA ORÇAMENTARIA'!B:J,3,0)</f>
        <v>CHAPIM (RUFO CAPA) EM AÇO GALVANIZADO, CORTE 33. AF_11/2020</v>
      </c>
      <c r="D85" s="256" t="str">
        <f>VLOOKUP(B85,'PLANILHA ORÇAMENTARIA'!B:J,5,0)</f>
        <v>m</v>
      </c>
      <c r="E85" s="38">
        <v>490.19</v>
      </c>
      <c r="F85" s="246"/>
      <c r="G85" s="246"/>
      <c r="H85" s="246"/>
      <c r="I85" s="246"/>
      <c r="J85" s="248" t="s">
        <v>504</v>
      </c>
      <c r="K85" s="251">
        <f t="shared" ref="K85" si="15">E85</f>
        <v>490.19</v>
      </c>
    </row>
    <row r="86" spans="1:11">
      <c r="A86" s="22"/>
      <c r="B86" s="234">
        <v>8</v>
      </c>
      <c r="C86" s="297" t="str">
        <f>VLOOKUP(B86,'PLANILHA ORÇAMENTARIA'!B:J,2,0)</f>
        <v>REVESTIMENTOS INTERNOS E EXTERNOS</v>
      </c>
      <c r="D86" s="236"/>
      <c r="E86" s="236"/>
      <c r="F86" s="237"/>
      <c r="G86" s="237"/>
      <c r="H86" s="237"/>
      <c r="I86" s="237"/>
      <c r="J86" s="235"/>
      <c r="K86" s="238"/>
    </row>
    <row r="87" spans="1:11" ht="25.5">
      <c r="B87" s="258" t="s">
        <v>219</v>
      </c>
      <c r="C87" s="255" t="str">
        <f>VLOOKUP(B87,'PLANILHA ORÇAMENTARIA'!B:J,3,0)</f>
        <v>Chapisco de argamassa de cimento e areia média ou grossa lavada, no traço 1:3, espessura 5 mm</v>
      </c>
      <c r="D87" s="256" t="str">
        <f>VLOOKUP(B87,'PLANILHA ORÇAMENTARIA'!B:J,5,0)</f>
        <v>m²</v>
      </c>
      <c r="E87" s="38">
        <f>K88+K89</f>
        <v>5032.87</v>
      </c>
      <c r="F87" s="244"/>
      <c r="G87" s="244"/>
      <c r="H87" s="244"/>
      <c r="I87" s="245"/>
      <c r="J87" s="248" t="s">
        <v>504</v>
      </c>
      <c r="K87" s="251">
        <f t="shared" si="11"/>
        <v>5032.87</v>
      </c>
    </row>
    <row r="88" spans="1:11" ht="25.5">
      <c r="B88" s="258" t="s">
        <v>124</v>
      </c>
      <c r="C88" s="255" t="str">
        <f>VLOOKUP(B88,'PLANILHA ORÇAMENTARIA'!B:J,3,0)</f>
        <v>Emboço de argamassa de cimento, cal hidratada CH1 e areia média ou grossa lavada no traço 1:0.5:6, espessura 20 mm</v>
      </c>
      <c r="D88" s="256" t="str">
        <f>VLOOKUP(B88,'PLANILHA ORÇAMENTARIA'!B:J,5,0)</f>
        <v>m²</v>
      </c>
      <c r="E88" s="38">
        <f>K93+K92</f>
        <v>1308.99</v>
      </c>
      <c r="F88" s="246"/>
      <c r="G88" s="246"/>
      <c r="H88" s="246"/>
      <c r="I88" s="247"/>
      <c r="J88" s="248" t="s">
        <v>504</v>
      </c>
      <c r="K88" s="251">
        <f t="shared" si="11"/>
        <v>1308.99</v>
      </c>
    </row>
    <row r="89" spans="1:11" ht="25.5">
      <c r="B89" s="258" t="s">
        <v>184</v>
      </c>
      <c r="C89" s="255" t="str">
        <f>VLOOKUP(B89,'PLANILHA ORÇAMENTARIA'!B:J,3,0)</f>
        <v>Reboco tipo paulista de argamassa de cimento, cal hidratada CH1 e areia média ou grossa lavada no traço 1:0.5:6, espessura 25 mm</v>
      </c>
      <c r="D89" s="256" t="str">
        <f>VLOOKUP(B89,'PLANILHA ORÇAMENTARIA'!B:J,5,0)</f>
        <v>m²</v>
      </c>
      <c r="E89" s="38"/>
      <c r="F89" s="246"/>
      <c r="G89" s="246"/>
      <c r="H89" s="246"/>
      <c r="I89" s="247"/>
      <c r="J89" s="248" t="s">
        <v>504</v>
      </c>
      <c r="K89" s="251">
        <f>SUM(K90:K91)</f>
        <v>3723.88</v>
      </c>
    </row>
    <row r="90" spans="1:11" ht="25.5">
      <c r="B90" s="258"/>
      <c r="C90" s="90" t="s">
        <v>633</v>
      </c>
      <c r="D90" s="256" t="s">
        <v>26</v>
      </c>
      <c r="E90" s="38">
        <v>3345.63</v>
      </c>
      <c r="F90" s="246"/>
      <c r="G90" s="246"/>
      <c r="H90" s="246"/>
      <c r="I90" s="247"/>
      <c r="J90" s="248" t="s">
        <v>504</v>
      </c>
      <c r="K90" s="254">
        <f t="shared" ref="K90" si="16">E90</f>
        <v>3345.63</v>
      </c>
    </row>
    <row r="91" spans="1:11" ht="25.5">
      <c r="B91" s="258"/>
      <c r="C91" s="90" t="s">
        <v>634</v>
      </c>
      <c r="D91" s="256" t="s">
        <v>26</v>
      </c>
      <c r="E91" s="38">
        <v>378.25</v>
      </c>
      <c r="F91" s="246"/>
      <c r="G91" s="246"/>
      <c r="H91" s="246"/>
      <c r="I91" s="247"/>
      <c r="J91" s="248" t="s">
        <v>504</v>
      </c>
      <c r="K91" s="254">
        <f t="shared" ref="K91" si="17">E91</f>
        <v>378.25</v>
      </c>
    </row>
    <row r="92" spans="1:11" ht="38.25">
      <c r="B92" s="258" t="s">
        <v>220</v>
      </c>
      <c r="C92" s="255" t="str">
        <f>VLOOKUP(B92,'PLANILHA ORÇAMENTARIA'!B:J,3,0)</f>
        <v>Cerâmica 10 x 10 cm, marcas de referência Eliane, Cecrisa ou Portobello, nas cores branco ou areia, com rejunte esp. 0.5 cm, empregando argamassa colante</v>
      </c>
      <c r="D92" s="256" t="str">
        <f>VLOOKUP(B92,'PLANILHA ORÇAMENTARIA'!B:J,5,0)</f>
        <v>m²</v>
      </c>
      <c r="E92" s="38">
        <v>787.87</v>
      </c>
      <c r="F92" s="246"/>
      <c r="G92" s="246"/>
      <c r="H92" s="246"/>
      <c r="I92" s="247"/>
      <c r="J92" s="248" t="s">
        <v>504</v>
      </c>
      <c r="K92" s="251">
        <f t="shared" si="11"/>
        <v>787.87</v>
      </c>
    </row>
    <row r="93" spans="1:11" ht="51">
      <c r="B93" s="258" t="s">
        <v>221</v>
      </c>
      <c r="C93" s="255" t="str">
        <f>VLOOKUP(B93,'PLANILHA ORÇAMENTARIA'!B:J,3,0)</f>
        <v>REVESTIMENTO CERÂMICO PARA PAREDES INTERNAS COM PLACAS TIPO ESMALTADA EXTRA DE DIMENSÕES 33X45 CM APLICADAS EM AMBIENTES DE ÁREA MAIOR QUE 5
M² NA ALTURA INTEIRA DAS PAREDES. AF_06/2014</v>
      </c>
      <c r="D93" s="256" t="str">
        <f>VLOOKUP(B93,'PLANILHA ORÇAMENTARIA'!B:J,5,0)</f>
        <v>m²</v>
      </c>
      <c r="E93" s="38">
        <v>521.12</v>
      </c>
      <c r="F93" s="246"/>
      <c r="G93" s="246"/>
      <c r="H93" s="246"/>
      <c r="I93" s="247"/>
      <c r="J93" s="248" t="s">
        <v>504</v>
      </c>
      <c r="K93" s="251">
        <f t="shared" si="11"/>
        <v>521.12</v>
      </c>
    </row>
    <row r="94" spans="1:11" ht="25.5">
      <c r="B94" s="258" t="s">
        <v>341</v>
      </c>
      <c r="C94" s="255" t="str">
        <f>VLOOKUP(B94,'PLANILHA ORÇAMENTARIA'!B:J,3,0)</f>
        <v>Forro de gesso acabamento tipo liso</v>
      </c>
      <c r="D94" s="256" t="str">
        <f>VLOOKUP(B94,'PLANILHA ORÇAMENTARIA'!B:J,5,0)</f>
        <v>m²</v>
      </c>
      <c r="E94" s="38">
        <v>911.25</v>
      </c>
      <c r="F94" s="246"/>
      <c r="G94" s="246"/>
      <c r="H94" s="246"/>
      <c r="I94" s="247"/>
      <c r="J94" s="248" t="s">
        <v>504</v>
      </c>
      <c r="K94" s="251">
        <f t="shared" si="11"/>
        <v>911.25</v>
      </c>
    </row>
    <row r="95" spans="1:11">
      <c r="A95" s="22"/>
      <c r="B95" s="234">
        <v>9</v>
      </c>
      <c r="C95" s="297" t="str">
        <f>VLOOKUP(B95,'PLANILHA ORÇAMENTARIA'!B:J,2,0)</f>
        <v>SISTEMAS DE PISOS</v>
      </c>
      <c r="D95" s="236"/>
      <c r="E95" s="236"/>
      <c r="F95" s="237"/>
      <c r="G95" s="237"/>
      <c r="H95" s="237"/>
      <c r="I95" s="237"/>
      <c r="J95" s="235"/>
      <c r="K95" s="238"/>
    </row>
    <row r="96" spans="1:11">
      <c r="A96" s="22"/>
      <c r="B96" s="234" t="s">
        <v>125</v>
      </c>
      <c r="C96" s="297" t="str">
        <f>VLOOKUP(B96,'PLANILHA ORÇAMENTARIA'!B:J,2,0)</f>
        <v>PAVIMENTAÇÃO INTERNA</v>
      </c>
      <c r="D96" s="236"/>
      <c r="E96" s="236"/>
      <c r="F96" s="237"/>
      <c r="G96" s="237"/>
      <c r="H96" s="237"/>
      <c r="I96" s="237"/>
      <c r="J96" s="235"/>
      <c r="K96" s="238"/>
    </row>
    <row r="97" spans="1:11" ht="25.5">
      <c r="B97" s="258" t="s">
        <v>126</v>
      </c>
      <c r="C97" s="255" t="str">
        <f>VLOOKUP(B97,'PLANILHA ORÇAMENTARIA'!B:J,3,0)</f>
        <v>Lastro de concreto não estrutural, espessura de 6 cm</v>
      </c>
      <c r="D97" s="256" t="str">
        <f>VLOOKUP(B97,'PLANILHA ORÇAMENTARIA'!B:J,5,0)</f>
        <v>m²</v>
      </c>
      <c r="E97" s="38">
        <f>E98</f>
        <v>1756.74</v>
      </c>
      <c r="F97" s="253"/>
      <c r="G97" s="253"/>
      <c r="H97" s="253"/>
      <c r="I97" s="253"/>
      <c r="J97" s="248" t="s">
        <v>504</v>
      </c>
      <c r="K97" s="251">
        <f t="shared" ref="K97:K101" si="18">E97</f>
        <v>1756.74</v>
      </c>
    </row>
    <row r="98" spans="1:11" ht="25.5">
      <c r="B98" s="258" t="s">
        <v>127</v>
      </c>
      <c r="C98" s="255" t="str">
        <f>VLOOKUP(B98,'PLANILHA ORÇAMENTARIA'!B:J,3,0)</f>
        <v>Regularização de base p/ revestimento cerâmico, com argamassa de cimento e areia no traço 1:5, espessura 3cm</v>
      </c>
      <c r="D98" s="256" t="str">
        <f>VLOOKUP(B98,'PLANILHA ORÇAMENTARIA'!B:J,5,0)</f>
        <v>m²</v>
      </c>
      <c r="E98" s="38">
        <f>K99+K100+K101</f>
        <v>1756.74</v>
      </c>
      <c r="F98" s="252"/>
      <c r="G98" s="252"/>
      <c r="H98" s="252"/>
      <c r="I98" s="252"/>
      <c r="J98" s="248" t="s">
        <v>504</v>
      </c>
      <c r="K98" s="251">
        <f t="shared" si="18"/>
        <v>1756.74</v>
      </c>
    </row>
    <row r="99" spans="1:11" ht="38.25">
      <c r="B99" s="258" t="s">
        <v>185</v>
      </c>
      <c r="C99" s="255" t="str">
        <f>VLOOKUP(B99,'PLANILHA ORÇAMENTARIA'!B:J,3,0)</f>
        <v>Piso cerâmico esmaltado, PEI 5, acabamento semibrilho, dim. 45x45cm, ref. de cor CARGO PLUS WHITE Eliane/equiv. assentado com argamassa de cimento colante, inclusive rejuntamento</v>
      </c>
      <c r="D99" s="256" t="str">
        <f>VLOOKUP(B99,'PLANILHA ORÇAMENTARIA'!B:J,5,0)</f>
        <v>m²</v>
      </c>
      <c r="E99" s="38">
        <v>109.65</v>
      </c>
      <c r="F99" s="252"/>
      <c r="G99" s="252"/>
      <c r="H99" s="252"/>
      <c r="I99" s="252"/>
      <c r="J99" s="248" t="s">
        <v>504</v>
      </c>
      <c r="K99" s="251">
        <f t="shared" si="18"/>
        <v>109.65</v>
      </c>
    </row>
    <row r="100" spans="1:11" ht="63.75">
      <c r="B100" s="258" t="s">
        <v>186</v>
      </c>
      <c r="C100" s="255" t="str">
        <f>VLOOKUP(B100,'PLANILHA ORÇAMENTARIA'!B:J,3,0)</f>
        <v>Piso argamassa alta resistência tipo granilite ou equiv de qualidade comprovada, esp de 10mm, com juntas plástica em quadros de 1m, na cor natural, com acabamento anti-derrapante mecanizado, inclusive
regularização e=3.0cm</v>
      </c>
      <c r="D100" s="256" t="str">
        <f>VLOOKUP(B100,'PLANILHA ORÇAMENTARIA'!B:J,5,0)</f>
        <v>m²</v>
      </c>
      <c r="E100" s="38">
        <v>1552.02</v>
      </c>
      <c r="F100" s="252"/>
      <c r="G100" s="252"/>
      <c r="H100" s="252"/>
      <c r="I100" s="252"/>
      <c r="J100" s="248" t="s">
        <v>504</v>
      </c>
      <c r="K100" s="251">
        <f t="shared" si="18"/>
        <v>1552.02</v>
      </c>
    </row>
    <row r="101" spans="1:11" ht="38.25">
      <c r="B101" s="258" t="s">
        <v>266</v>
      </c>
      <c r="C101" s="255" t="str">
        <f>VLOOKUP(B101,'PLANILHA ORÇAMENTARIA'!B:J,3,0)</f>
        <v>PISO CIMENTADO, TRAÇO 1:3 (CIMENTO E AREIA), ACABAMENTO LISO, ESPESSURA 3,0 CM, PREPARO MECÂNICO DA ARGAMASSA. AF_09/2020</v>
      </c>
      <c r="D101" s="256" t="str">
        <f>VLOOKUP(B101,'PLANILHA ORÇAMENTARIA'!B:J,5,0)</f>
        <v>m²</v>
      </c>
      <c r="E101" s="38">
        <v>95.07</v>
      </c>
      <c r="F101" s="252"/>
      <c r="G101" s="252"/>
      <c r="H101" s="252"/>
      <c r="I101" s="252"/>
      <c r="J101" s="248" t="s">
        <v>504</v>
      </c>
      <c r="K101" s="251">
        <f t="shared" si="18"/>
        <v>95.07</v>
      </c>
    </row>
    <row r="102" spans="1:11" ht="25.5">
      <c r="B102" s="258" t="s">
        <v>506</v>
      </c>
      <c r="C102" s="255" t="str">
        <f>VLOOKUP(B102,'PLANILHA ORÇAMENTARIA'!B:J,3,0)</f>
        <v>Soleira de granito esp. 2 cm e largura de 15 cm</v>
      </c>
      <c r="D102" s="256" t="str">
        <f>VLOOKUP(B102,'PLANILHA ORÇAMENTARIA'!B:J,5,0)</f>
        <v>m</v>
      </c>
      <c r="E102" s="38"/>
      <c r="F102" s="252"/>
      <c r="G102" s="252"/>
      <c r="H102" s="252"/>
      <c r="I102" s="252"/>
      <c r="J102" s="248" t="s">
        <v>504</v>
      </c>
      <c r="K102" s="251">
        <f>SUM(K103:K106)</f>
        <v>34.900000000000006</v>
      </c>
    </row>
    <row r="103" spans="1:11" ht="25.5">
      <c r="B103" s="258"/>
      <c r="C103" s="246" t="s">
        <v>511</v>
      </c>
      <c r="D103" s="256" t="s">
        <v>27</v>
      </c>
      <c r="E103" s="246">
        <v>1</v>
      </c>
      <c r="F103" s="246"/>
      <c r="G103" s="246">
        <v>0.7</v>
      </c>
      <c r="H103" s="246"/>
      <c r="I103" s="246"/>
      <c r="J103" s="248" t="s">
        <v>504</v>
      </c>
      <c r="K103" s="254">
        <f>E103*G103</f>
        <v>0.7</v>
      </c>
    </row>
    <row r="104" spans="1:11" ht="25.5">
      <c r="B104" s="258"/>
      <c r="C104" s="246" t="s">
        <v>512</v>
      </c>
      <c r="D104" s="256" t="s">
        <v>27</v>
      </c>
      <c r="E104" s="246">
        <v>34</v>
      </c>
      <c r="F104" s="246"/>
      <c r="G104" s="246">
        <v>0.8</v>
      </c>
      <c r="H104" s="246"/>
      <c r="I104" s="246"/>
      <c r="J104" s="248" t="s">
        <v>504</v>
      </c>
      <c r="K104" s="254">
        <f t="shared" ref="K104:K106" si="19">E104*G104</f>
        <v>27.200000000000003</v>
      </c>
    </row>
    <row r="105" spans="1:11" ht="25.5">
      <c r="B105" s="258"/>
      <c r="C105" s="246" t="s">
        <v>636</v>
      </c>
      <c r="D105" s="256" t="s">
        <v>27</v>
      </c>
      <c r="E105" s="246">
        <v>3</v>
      </c>
      <c r="F105" s="246"/>
      <c r="G105" s="246">
        <v>1</v>
      </c>
      <c r="H105" s="246"/>
      <c r="I105" s="246"/>
      <c r="J105" s="248" t="s">
        <v>504</v>
      </c>
      <c r="K105" s="254">
        <f t="shared" si="19"/>
        <v>3</v>
      </c>
    </row>
    <row r="106" spans="1:11" ht="25.5">
      <c r="B106" s="258"/>
      <c r="C106" s="246" t="s">
        <v>635</v>
      </c>
      <c r="D106" s="256" t="s">
        <v>27</v>
      </c>
      <c r="E106" s="246">
        <v>2</v>
      </c>
      <c r="F106" s="246"/>
      <c r="G106" s="246">
        <v>2</v>
      </c>
      <c r="H106" s="246"/>
      <c r="I106" s="246"/>
      <c r="J106" s="248" t="s">
        <v>504</v>
      </c>
      <c r="K106" s="254">
        <f t="shared" si="19"/>
        <v>4</v>
      </c>
    </row>
    <row r="107" spans="1:11" ht="63.75">
      <c r="B107" s="258" t="s">
        <v>508</v>
      </c>
      <c r="C107" s="255" t="str">
        <f>VLOOKUP(B107,'PLANILHA ORÇAMENTARIA'!B:J,3,0)</f>
        <v>Rodapé de argamassa de alta resistência tipo granilite ou equivalente de qualidade comprovada, altura de 10 cm e espessura de 10 mm, com cantos boleados, executado com cimento e granitina grana N.1,
inclusive polimento</v>
      </c>
      <c r="D107" s="256" t="str">
        <f>VLOOKUP(B107,'PLANILHA ORÇAMENTARIA'!B:J,5,0)</f>
        <v>m</v>
      </c>
      <c r="E107" s="38"/>
      <c r="F107" s="252"/>
      <c r="G107" s="252">
        <v>682.15</v>
      </c>
      <c r="H107" s="252"/>
      <c r="I107" s="252"/>
      <c r="J107" s="248" t="s">
        <v>504</v>
      </c>
      <c r="K107" s="251">
        <f>G107</f>
        <v>682.15</v>
      </c>
    </row>
    <row r="108" spans="1:11" ht="25.5">
      <c r="B108" s="258" t="s">
        <v>510</v>
      </c>
      <c r="C108" s="255" t="str">
        <f>VLOOKUP(B108,'PLANILHA ORÇAMENTARIA'!B:J,3,0)</f>
        <v>Peitoril de granito cinza polido, 15 cm, esp. 3cm</v>
      </c>
      <c r="D108" s="256" t="str">
        <f>VLOOKUP(B108,'PLANILHA ORÇAMENTARIA'!B:J,5,0)</f>
        <v>m</v>
      </c>
      <c r="E108" s="38"/>
      <c r="F108" s="252"/>
      <c r="G108" s="252">
        <v>110.56</v>
      </c>
      <c r="H108" s="252"/>
      <c r="I108" s="252"/>
      <c r="J108" s="248" t="s">
        <v>504</v>
      </c>
      <c r="K108" s="251">
        <f>G108</f>
        <v>110.56</v>
      </c>
    </row>
    <row r="109" spans="1:11">
      <c r="A109" s="22"/>
      <c r="B109" s="234" t="s">
        <v>128</v>
      </c>
      <c r="C109" s="297" t="str">
        <f>VLOOKUP(B109,'PLANILHA ORÇAMENTARIA'!B:J,2,0)</f>
        <v>PAVIMENTAÇÃO EXTERNA</v>
      </c>
      <c r="D109" s="236"/>
      <c r="E109" s="236"/>
      <c r="F109" s="237"/>
      <c r="G109" s="237"/>
      <c r="H109" s="237"/>
      <c r="I109" s="237"/>
      <c r="J109" s="235"/>
      <c r="K109" s="238"/>
    </row>
    <row r="110" spans="1:11" ht="38.25">
      <c r="B110" s="258" t="s">
        <v>129</v>
      </c>
      <c r="C110" s="255" t="str">
        <f>VLOOKUP(B110,'PLANILHA ORÇAMENTARIA'!B:J,3,0)</f>
        <v>Blocos pré-moldados de concreto tipo pavi-s ou equivalente, espessura de 8 cm e resistência a compressão mínima de 35MPa, assentados sobre colchão de pó de pedra na espessura de 10 cm</v>
      </c>
      <c r="D110" s="256" t="str">
        <f>VLOOKUP(B110,'PLANILHA ORÇAMENTARIA'!B:J,5,0)</f>
        <v>m²</v>
      </c>
      <c r="E110" s="38">
        <v>113.78</v>
      </c>
      <c r="F110" s="246"/>
      <c r="G110" s="246"/>
      <c r="H110" s="246"/>
      <c r="I110" s="246"/>
      <c r="J110" s="248" t="s">
        <v>504</v>
      </c>
      <c r="K110" s="251">
        <f t="shared" ref="K110:K115" si="20">E110</f>
        <v>113.78</v>
      </c>
    </row>
    <row r="111" spans="1:11" ht="25.5">
      <c r="B111" s="258" t="s">
        <v>187</v>
      </c>
      <c r="C111" s="255" t="str">
        <f>VLOOKUP(B111,'PLANILHA ORÇAMENTARIA'!B:J,3,0)</f>
        <v>Fornecimento e plantio de grama em placas tipo esmeralda, inclusive fornecimento de terra vegetal</v>
      </c>
      <c r="D111" s="256" t="str">
        <f>VLOOKUP(B111,'PLANILHA ORÇAMENTARIA'!B:J,5,0)</f>
        <v>m²</v>
      </c>
      <c r="E111" s="38">
        <v>961.58</v>
      </c>
      <c r="F111" s="246"/>
      <c r="G111" s="246"/>
      <c r="H111" s="246"/>
      <c r="I111" s="246"/>
      <c r="J111" s="248" t="s">
        <v>504</v>
      </c>
      <c r="K111" s="251">
        <f t="shared" si="20"/>
        <v>961.58</v>
      </c>
    </row>
    <row r="112" spans="1:11" ht="38.25">
      <c r="B112" s="258" t="s">
        <v>188</v>
      </c>
      <c r="C112" s="255" t="str">
        <f>VLOOKUP(B112,'PLANILHA ORÇAMENTARIA'!B:J,3,0)</f>
        <v>Passeio de cimentado camurçado com argamassa de cimento e areia no traço 1:3 esp. 1.5cm, e lastro deconcreto com 8cm de espessura, inclusive preparo de caixa</v>
      </c>
      <c r="D112" s="256" t="str">
        <f>VLOOKUP(B112,'PLANILHA ORÇAMENTARIA'!B:J,5,0)</f>
        <v>m²</v>
      </c>
      <c r="E112" s="38">
        <v>67.19</v>
      </c>
      <c r="F112" s="246"/>
      <c r="G112" s="246"/>
      <c r="H112" s="246"/>
      <c r="I112" s="246"/>
      <c r="J112" s="248" t="s">
        <v>504</v>
      </c>
      <c r="K112" s="251">
        <f t="shared" si="20"/>
        <v>67.19</v>
      </c>
    </row>
    <row r="113" spans="1:11">
      <c r="A113" s="22"/>
      <c r="B113" s="234">
        <v>10</v>
      </c>
      <c r="C113" s="297" t="str">
        <f>VLOOKUP(B113,'PLANILHA ORÇAMENTARIA'!B:J,2,0)</f>
        <v>PINTURAS E ACABAMENTOS</v>
      </c>
      <c r="D113" s="236"/>
      <c r="E113" s="236"/>
      <c r="F113" s="237"/>
      <c r="G113" s="237"/>
      <c r="H113" s="237"/>
      <c r="I113" s="237"/>
      <c r="J113" s="235"/>
      <c r="K113" s="238"/>
    </row>
    <row r="114" spans="1:11" ht="25.5">
      <c r="B114" s="258" t="s">
        <v>130</v>
      </c>
      <c r="C114" s="255" t="str">
        <f>VLOOKUP(B114,'PLANILHA ORÇAMENTARIA'!B:J,3,0)</f>
        <v>Emassamento de paredes e forros, com duas demãos de massa acrílica, marcas de referência Suvinil, Coral ou Metalatex</v>
      </c>
      <c r="D114" s="256" t="str">
        <f>VLOOKUP(B114,'PLANILHA ORÇAMENTARIA'!B:J,5,0)</f>
        <v>m²</v>
      </c>
      <c r="E114" s="38">
        <f>K89</f>
        <v>3723.88</v>
      </c>
      <c r="F114" s="244"/>
      <c r="G114" s="244"/>
      <c r="H114" s="244"/>
      <c r="I114" s="244"/>
      <c r="J114" s="248" t="s">
        <v>504</v>
      </c>
      <c r="K114" s="251">
        <f t="shared" si="20"/>
        <v>3723.88</v>
      </c>
    </row>
    <row r="115" spans="1:11" ht="38.25">
      <c r="B115" s="258" t="s">
        <v>131</v>
      </c>
      <c r="C115" s="255" t="str">
        <f>VLOOKUP(B115,'PLANILHA ORÇAMENTARIA'!B:J,3,0)</f>
        <v>Pintura com tinta acrílica, marcas de referência Suvinil, Coral e Metalatex, inclusive selador acrílico, em paredes e forros, a duas demãos</v>
      </c>
      <c r="D115" s="256" t="str">
        <f>VLOOKUP(B115,'PLANILHA ORÇAMENTARIA'!B:J,5,0)</f>
        <v>m²</v>
      </c>
      <c r="E115" s="38">
        <f>E114</f>
        <v>3723.88</v>
      </c>
      <c r="F115" s="246"/>
      <c r="G115" s="246"/>
      <c r="H115" s="246"/>
      <c r="I115" s="246"/>
      <c r="J115" s="248" t="s">
        <v>504</v>
      </c>
      <c r="K115" s="251">
        <f t="shared" si="20"/>
        <v>3723.88</v>
      </c>
    </row>
    <row r="116" spans="1:11" ht="38.25">
      <c r="B116" s="258" t="s">
        <v>189</v>
      </c>
      <c r="C116" s="255" t="str">
        <f>VLOOKUP(B116,'PLANILHA ORÇAMENTARIA'!B:J,3,0)</f>
        <v>Pintura com tinta esmalte sintético, marcas de referência Suvinil, Coral ou Metalatex, inclusive fundo branco nivelador, em madeira, a duas demãos</v>
      </c>
      <c r="D116" s="256" t="str">
        <f>VLOOKUP(B116,'PLANILHA ORÇAMENTARIA'!B:J,5,0)</f>
        <v>m²</v>
      </c>
      <c r="E116" s="38"/>
      <c r="F116" s="246"/>
      <c r="G116" s="246"/>
      <c r="H116" s="246"/>
      <c r="I116" s="246"/>
      <c r="J116" s="246" t="s">
        <v>513</v>
      </c>
      <c r="K116" s="251">
        <f>(SUM(K117:K120)*2.5)</f>
        <v>192.875</v>
      </c>
    </row>
    <row r="117" spans="1:11">
      <c r="B117" s="258"/>
      <c r="C117" s="246" t="s">
        <v>514</v>
      </c>
      <c r="D117" s="37" t="s">
        <v>26</v>
      </c>
      <c r="E117" s="246">
        <v>14</v>
      </c>
      <c r="F117" s="246"/>
      <c r="G117" s="246">
        <v>0.6</v>
      </c>
      <c r="H117" s="246">
        <v>1.6</v>
      </c>
      <c r="I117" s="246"/>
      <c r="J117" s="248"/>
      <c r="K117" s="254">
        <f>E117*G117*H117</f>
        <v>13.440000000000001</v>
      </c>
    </row>
    <row r="118" spans="1:11">
      <c r="B118" s="258"/>
      <c r="C118" s="246" t="s">
        <v>516</v>
      </c>
      <c r="D118" s="37" t="s">
        <v>26</v>
      </c>
      <c r="E118" s="246">
        <v>4</v>
      </c>
      <c r="F118" s="246"/>
      <c r="G118" s="246">
        <v>0.8</v>
      </c>
      <c r="H118" s="246">
        <v>1.6</v>
      </c>
      <c r="I118" s="246"/>
      <c r="J118" s="248"/>
      <c r="K118" s="254">
        <f t="shared" ref="K118:K120" si="21">E118*G118*H118</f>
        <v>5.120000000000001</v>
      </c>
    </row>
    <row r="119" spans="1:11">
      <c r="B119" s="258"/>
      <c r="C119" s="246" t="s">
        <v>637</v>
      </c>
      <c r="D119" s="37" t="s">
        <v>26</v>
      </c>
      <c r="E119" s="246">
        <v>1</v>
      </c>
      <c r="F119" s="246"/>
      <c r="G119" s="246">
        <v>0.7</v>
      </c>
      <c r="H119" s="246">
        <v>2.1</v>
      </c>
      <c r="I119" s="246"/>
      <c r="J119" s="248"/>
      <c r="K119" s="254">
        <f t="shared" ref="K119" si="22">E119*G119*H119</f>
        <v>1.47</v>
      </c>
    </row>
    <row r="120" spans="1:11">
      <c r="B120" s="258"/>
      <c r="C120" s="246" t="s">
        <v>515</v>
      </c>
      <c r="D120" s="37" t="s">
        <v>26</v>
      </c>
      <c r="E120" s="246">
        <v>34</v>
      </c>
      <c r="F120" s="246"/>
      <c r="G120" s="246">
        <v>0.8</v>
      </c>
      <c r="H120" s="246">
        <v>2.1</v>
      </c>
      <c r="I120" s="246"/>
      <c r="J120" s="248"/>
      <c r="K120" s="254">
        <f t="shared" si="21"/>
        <v>57.120000000000012</v>
      </c>
    </row>
    <row r="121" spans="1:11" ht="38.25">
      <c r="B121" s="258" t="s">
        <v>190</v>
      </c>
      <c r="C121" s="255" t="str">
        <f>VLOOKUP(B121,'PLANILHA ORÇAMENTARIA'!B:J,3,0)</f>
        <v>Pintura com tinta esmalte sintético, marcas de referência Suvinil, Coral ou Metalatex, a duas demãos, inclusive fundo anticorrosivo a uma demão, em metal</v>
      </c>
      <c r="D121" s="256" t="str">
        <f>VLOOKUP(B121,'PLANILHA ORÇAMENTARIA'!B:J,5,0)</f>
        <v>m²</v>
      </c>
      <c r="E121" s="38"/>
      <c r="F121" s="246"/>
      <c r="G121" s="246"/>
      <c r="H121" s="246"/>
      <c r="I121" s="246"/>
      <c r="J121" s="246" t="s">
        <v>517</v>
      </c>
      <c r="K121" s="251">
        <f>(SUM(K122:K123)*3.5)</f>
        <v>172.48000000000002</v>
      </c>
    </row>
    <row r="122" spans="1:11">
      <c r="B122" s="258"/>
      <c r="C122" s="246" t="s">
        <v>658</v>
      </c>
      <c r="D122" s="37" t="s">
        <v>26</v>
      </c>
      <c r="E122" s="246">
        <v>17.28</v>
      </c>
      <c r="F122" s="246"/>
      <c r="G122" s="246"/>
      <c r="H122" s="246"/>
      <c r="I122" s="246"/>
      <c r="J122" s="248"/>
      <c r="K122" s="254">
        <f>E122</f>
        <v>17.28</v>
      </c>
    </row>
    <row r="123" spans="1:11">
      <c r="B123" s="258"/>
      <c r="C123" s="246" t="s">
        <v>659</v>
      </c>
      <c r="D123" s="37" t="s">
        <v>26</v>
      </c>
      <c r="E123" s="246">
        <v>32</v>
      </c>
      <c r="F123" s="246"/>
      <c r="G123" s="246"/>
      <c r="H123" s="246"/>
      <c r="I123" s="246"/>
      <c r="J123" s="248"/>
      <c r="K123" s="254">
        <f>E123</f>
        <v>32</v>
      </c>
    </row>
    <row r="124" spans="1:11">
      <c r="A124" s="22"/>
      <c r="B124" s="234">
        <v>11</v>
      </c>
      <c r="C124" s="297" t="str">
        <f>VLOOKUP(B124,'PLANILHA ORÇAMENTARIA'!B:J,2,0)</f>
        <v>INSTALAÇÃO HIDRAULICA</v>
      </c>
      <c r="D124" s="236"/>
      <c r="E124" s="236"/>
      <c r="F124" s="237"/>
      <c r="G124" s="237"/>
      <c r="H124" s="237"/>
      <c r="I124" s="237"/>
      <c r="J124" s="235"/>
      <c r="K124" s="238"/>
    </row>
    <row r="125" spans="1:11">
      <c r="A125" s="22"/>
      <c r="B125" s="234" t="s">
        <v>132</v>
      </c>
      <c r="C125" s="297" t="str">
        <f>VLOOKUP(B125,'PLANILHA ORÇAMENTARIA'!B:J,2,0)</f>
        <v>TUBULAÇÕES DE PVC RIGIDO</v>
      </c>
      <c r="D125" s="236"/>
      <c r="E125" s="236"/>
      <c r="F125" s="237"/>
      <c r="G125" s="237"/>
      <c r="H125" s="237"/>
      <c r="I125" s="237"/>
      <c r="J125" s="235"/>
      <c r="K125" s="238"/>
    </row>
    <row r="126" spans="1:11" ht="25.5">
      <c r="B126" s="258" t="s">
        <v>133</v>
      </c>
      <c r="C126" s="255" t="str">
        <f>VLOOKUP(B126,'PLANILHA ORÇAMENTARIA'!B:J,3,0)</f>
        <v>Tubo de PVC rígido soldável marrom, diâm. 20mm (1/2"), inclusive conexões</v>
      </c>
      <c r="D126" s="256" t="str">
        <f>VLOOKUP(B126,'PLANILHA ORÇAMENTARIA'!B:J,5,0)</f>
        <v>m</v>
      </c>
      <c r="E126" s="38"/>
      <c r="F126" s="244"/>
      <c r="G126" s="38">
        <v>50</v>
      </c>
      <c r="H126" s="244"/>
      <c r="I126" s="245"/>
      <c r="J126" s="248" t="s">
        <v>518</v>
      </c>
      <c r="K126" s="251">
        <f>G126</f>
        <v>50</v>
      </c>
    </row>
    <row r="127" spans="1:11" ht="25.5">
      <c r="B127" s="258" t="s">
        <v>134</v>
      </c>
      <c r="C127" s="255" t="str">
        <f>VLOOKUP(B127,'PLANILHA ORÇAMENTARIA'!B:J,3,0)</f>
        <v>Tubo de PVC rígido soldável marrom, diâm. 25mm (3/4"), inclusive conexões</v>
      </c>
      <c r="D127" s="256" t="str">
        <f>VLOOKUP(B127,'PLANILHA ORÇAMENTARIA'!B:J,5,0)</f>
        <v>m</v>
      </c>
      <c r="E127" s="38"/>
      <c r="F127" s="246"/>
      <c r="G127" s="38">
        <v>45</v>
      </c>
      <c r="H127" s="246"/>
      <c r="I127" s="247"/>
      <c r="J127" s="248" t="s">
        <v>518</v>
      </c>
      <c r="K127" s="251">
        <f t="shared" ref="K127:K130" si="23">G127</f>
        <v>45</v>
      </c>
    </row>
    <row r="128" spans="1:11" ht="25.5">
      <c r="B128" s="258" t="s">
        <v>135</v>
      </c>
      <c r="C128" s="255" t="str">
        <f>VLOOKUP(B128,'PLANILHA ORÇAMENTARIA'!B:J,3,0)</f>
        <v>Tubo de PVC rígido soldável marrom, diâm. 50mm (11/2"), inclusive conexões</v>
      </c>
      <c r="D128" s="256" t="str">
        <f>VLOOKUP(B128,'PLANILHA ORÇAMENTARIA'!B:J,5,0)</f>
        <v>m</v>
      </c>
      <c r="E128" s="38"/>
      <c r="F128" s="246"/>
      <c r="G128" s="38">
        <v>90</v>
      </c>
      <c r="H128" s="246"/>
      <c r="I128" s="247"/>
      <c r="J128" s="248" t="s">
        <v>518</v>
      </c>
      <c r="K128" s="251">
        <f t="shared" si="23"/>
        <v>90</v>
      </c>
    </row>
    <row r="129" spans="1:11" ht="25.5">
      <c r="B129" s="258" t="s">
        <v>136</v>
      </c>
      <c r="C129" s="255" t="str">
        <f>VLOOKUP(B129,'PLANILHA ORÇAMENTARIA'!B:J,3,0)</f>
        <v>Tubo de PVC rígido soldável marrom, diâm. 75mm (21/2"), inclusive conexões</v>
      </c>
      <c r="D129" s="256" t="str">
        <f>VLOOKUP(B129,'PLANILHA ORÇAMENTARIA'!B:J,5,0)</f>
        <v>m</v>
      </c>
      <c r="E129" s="38"/>
      <c r="F129" s="246"/>
      <c r="G129" s="38">
        <v>100</v>
      </c>
      <c r="H129" s="246"/>
      <c r="I129" s="247"/>
      <c r="J129" s="248" t="s">
        <v>518</v>
      </c>
      <c r="K129" s="251">
        <f t="shared" ref="K129" si="24">G129</f>
        <v>100</v>
      </c>
    </row>
    <row r="130" spans="1:11" ht="25.5">
      <c r="B130" s="258" t="s">
        <v>638</v>
      </c>
      <c r="C130" s="255" t="str">
        <f>VLOOKUP(B130,'PLANILHA ORÇAMENTARIA'!B:J,3,0)</f>
        <v>Tubo de PVC rígido soldável marrom, diâm. 85mm (3"), inclusive conexões</v>
      </c>
      <c r="D130" s="256" t="str">
        <f>VLOOKUP(B130,'PLANILHA ORÇAMENTARIA'!B:J,5,0)</f>
        <v>m</v>
      </c>
      <c r="E130" s="38"/>
      <c r="F130" s="246"/>
      <c r="G130" s="38">
        <v>85</v>
      </c>
      <c r="H130" s="246"/>
      <c r="I130" s="247"/>
      <c r="J130" s="248" t="s">
        <v>518</v>
      </c>
      <c r="K130" s="251">
        <f t="shared" si="23"/>
        <v>85</v>
      </c>
    </row>
    <row r="131" spans="1:11">
      <c r="A131" s="22"/>
      <c r="B131" s="234" t="s">
        <v>137</v>
      </c>
      <c r="C131" s="297" t="str">
        <f>VLOOKUP(B131,'PLANILHA ORÇAMENTARIA'!B:J,2,0)</f>
        <v>REGISTROS E ACESSORIOS</v>
      </c>
      <c r="D131" s="236"/>
      <c r="E131" s="236"/>
      <c r="F131" s="237"/>
      <c r="G131" s="237"/>
      <c r="H131" s="237"/>
      <c r="I131" s="237"/>
      <c r="J131" s="235"/>
      <c r="K131" s="238"/>
    </row>
    <row r="132" spans="1:11" ht="51">
      <c r="B132" s="258" t="s">
        <v>138</v>
      </c>
      <c r="C132" s="255" t="str">
        <f>VLOOKUP(B132,'PLANILHA ORÇAMENTARIA'!B:J,3,0)</f>
        <v>Padrão de entrada d'água com caixa termoplástica para hidrômetro de 3/4" - padrão 1B da CESAN. Instalado embutido na alvenaria. Inclusive tubulação, conexões, registro, tubo camisa e caixa com tampa transparente. Conferir detalhe.</v>
      </c>
      <c r="D132" s="256" t="str">
        <f>VLOOKUP(B132,'PLANILHA ORÇAMENTARIA'!B:J,5,0)</f>
        <v>und</v>
      </c>
      <c r="E132" s="38">
        <v>1</v>
      </c>
      <c r="F132" s="246"/>
      <c r="G132" s="246"/>
      <c r="H132" s="246"/>
      <c r="I132" s="247"/>
      <c r="J132" s="248" t="s">
        <v>518</v>
      </c>
      <c r="K132" s="251">
        <f t="shared" ref="K132" si="25">E132</f>
        <v>1</v>
      </c>
    </row>
    <row r="133" spans="1:11" ht="51">
      <c r="B133" s="258" t="s">
        <v>139</v>
      </c>
      <c r="C133" s="255" t="str">
        <f>VLOOKUP(B133,'PLANILHA ORÇAMENTARIA'!B:J,3,0)</f>
        <v>Mureta p/ cavalete (Padrão 1B - CESAN) de alv. blocos cerâmicos 10x20x20cm deitados, dimensões 0.80x1.0x0.20m, para instalação de caixa termoplastica, incl revest. em reboco e lastro concreto esp.10cm,exclusive caixa e cavalete</v>
      </c>
      <c r="D133" s="256" t="str">
        <f>VLOOKUP(B133,'PLANILHA ORÇAMENTARIA'!B:J,5,0)</f>
        <v>und</v>
      </c>
      <c r="E133" s="38">
        <v>1</v>
      </c>
      <c r="F133" s="246"/>
      <c r="G133" s="246"/>
      <c r="H133" s="246"/>
      <c r="I133" s="247"/>
      <c r="J133" s="248" t="s">
        <v>518</v>
      </c>
      <c r="K133" s="251">
        <f t="shared" ref="K133:K136" si="26">E133</f>
        <v>1</v>
      </c>
    </row>
    <row r="134" spans="1:11" ht="25.5">
      <c r="B134" s="258" t="s">
        <v>140</v>
      </c>
      <c r="C134" s="255" t="str">
        <f>VLOOKUP(B134,'PLANILHA ORÇAMENTARIA'!B:J,3,0)</f>
        <v>REGISTRO DE GAVETA BRUTO, LATÃO, ROSCÁVEL, 3" - FORNECIMENTO E INSTALAÇÃO. AF_08/2021</v>
      </c>
      <c r="D134" s="256" t="str">
        <f>VLOOKUP(B134,'PLANILHA ORÇAMENTARIA'!B:J,5,0)</f>
        <v>und</v>
      </c>
      <c r="E134" s="38">
        <v>2</v>
      </c>
      <c r="F134" s="246"/>
      <c r="G134" s="246"/>
      <c r="H134" s="246"/>
      <c r="I134" s="247"/>
      <c r="J134" s="248" t="s">
        <v>518</v>
      </c>
      <c r="K134" s="251">
        <f t="shared" si="26"/>
        <v>2</v>
      </c>
    </row>
    <row r="135" spans="1:11" ht="38.25">
      <c r="B135" s="258" t="s">
        <v>141</v>
      </c>
      <c r="C135" s="255" t="str">
        <f>VLOOKUP(B135,'PLANILHA ORÇAMENTARIA'!B:J,3,0)</f>
        <v>REGISTRO DE GAVETA BRUTO, LATÃO, ROSCÁVEL, 3/4", COM ACABAMENTO E CANOPLA CROMADOS - FORNECIMENTO E INSTALAÇÃO. AF_08/2021</v>
      </c>
      <c r="D135" s="256" t="str">
        <f>VLOOKUP(B135,'PLANILHA ORÇAMENTARIA'!B:J,5,0)</f>
        <v>und</v>
      </c>
      <c r="E135" s="38">
        <v>10</v>
      </c>
      <c r="F135" s="246"/>
      <c r="G135" s="246"/>
      <c r="H135" s="246"/>
      <c r="I135" s="247"/>
      <c r="J135" s="248" t="s">
        <v>518</v>
      </c>
      <c r="K135" s="251">
        <f t="shared" si="26"/>
        <v>10</v>
      </c>
    </row>
    <row r="136" spans="1:11" ht="38.25">
      <c r="B136" s="258" t="s">
        <v>520</v>
      </c>
      <c r="C136" s="255" t="str">
        <f>VLOOKUP(B136,'PLANILHA ORÇAMENTARIA'!B:J,3,0)</f>
        <v>REGISTRO DE GAVETA BRUTO, LATÃO, ROSCÁVEL, 1 1/2", COM ACABAMENTO E CANOPLA CROMADOS - FORNECIMENTO E INSTALAÇÃO. AF_08/2021</v>
      </c>
      <c r="D136" s="256" t="str">
        <f>VLOOKUP(B136,'PLANILHA ORÇAMENTARIA'!B:J,5,0)</f>
        <v>und</v>
      </c>
      <c r="E136" s="38">
        <v>9</v>
      </c>
      <c r="F136" s="246"/>
      <c r="G136" s="246"/>
      <c r="H136" s="246"/>
      <c r="I136" s="247"/>
      <c r="J136" s="248" t="s">
        <v>518</v>
      </c>
      <c r="K136" s="251">
        <f t="shared" si="26"/>
        <v>9</v>
      </c>
    </row>
    <row r="137" spans="1:11">
      <c r="A137" s="22"/>
      <c r="B137" s="234" t="s">
        <v>544</v>
      </c>
      <c r="C137" s="297" t="str">
        <f>VLOOKUP(B137,'PLANILHA ORÇAMENTARIA'!B:J,2,0)</f>
        <v xml:space="preserve">CASTELO D'ÁGUA 30.000 L </v>
      </c>
      <c r="D137" s="236"/>
      <c r="E137" s="236"/>
      <c r="F137" s="237"/>
      <c r="G137" s="237"/>
      <c r="H137" s="237"/>
      <c r="I137" s="237"/>
      <c r="J137" s="235"/>
      <c r="K137" s="238"/>
    </row>
    <row r="138" spans="1:11" ht="25.5">
      <c r="B138" s="258" t="s">
        <v>545</v>
      </c>
      <c r="C138" s="255" t="str">
        <f>VLOOKUP(B138,'PLANILHA ORÇAMENTARIA'!B:J,3,0)</f>
        <v>Fornecimento, dobragem e colocação em fôrma, de armadura CA-50 A média, diâmetro de 6.3 a 10.0 mm</v>
      </c>
      <c r="D138" s="256" t="str">
        <f>VLOOKUP(B138,'PLANILHA ORÇAMENTARIA'!B:J,5,0)</f>
        <v>kg</v>
      </c>
      <c r="E138" s="38">
        <v>377.7</v>
      </c>
      <c r="F138" s="246"/>
      <c r="G138" s="246"/>
      <c r="H138" s="246"/>
      <c r="I138" s="247"/>
      <c r="J138" s="248" t="s">
        <v>501</v>
      </c>
      <c r="K138" s="251">
        <f t="shared" ref="K138:K143" si="27">E138</f>
        <v>377.7</v>
      </c>
    </row>
    <row r="139" spans="1:11" ht="25.5">
      <c r="B139" s="258" t="s">
        <v>546</v>
      </c>
      <c r="C139" s="255" t="str">
        <f>VLOOKUP(B139,'PLANILHA ORÇAMENTARIA'!B:J,3,0)</f>
        <v>Fornecimento, dobragem e colocação em fôrma, de armadura CA-50 A grossa diâmetro de 12.5 a 25.0 mm (1/2 a 1")</v>
      </c>
      <c r="D139" s="256" t="str">
        <f>VLOOKUP(B139,'PLANILHA ORÇAMENTARIA'!B:J,5,0)</f>
        <v>kg</v>
      </c>
      <c r="E139" s="38">
        <v>139</v>
      </c>
      <c r="F139" s="246"/>
      <c r="G139" s="246"/>
      <c r="H139" s="246"/>
      <c r="I139" s="247"/>
      <c r="J139" s="248" t="s">
        <v>501</v>
      </c>
      <c r="K139" s="251">
        <f t="shared" si="27"/>
        <v>139</v>
      </c>
    </row>
    <row r="140" spans="1:11" ht="25.5">
      <c r="B140" s="258" t="s">
        <v>547</v>
      </c>
      <c r="C140" s="255" t="str">
        <f>VLOOKUP(B140,'PLANILHA ORÇAMENTARIA'!B:J,3,0)</f>
        <v>Fornecimento, dobragem e colocação em fôrma, de armadura CA-60 B fina, diâmetro de 4.0 a 7.0mm</v>
      </c>
      <c r="D140" s="256" t="str">
        <f>VLOOKUP(B140,'PLANILHA ORÇAMENTARIA'!B:J,5,0)</f>
        <v>kg</v>
      </c>
      <c r="E140" s="38">
        <v>60.1</v>
      </c>
      <c r="F140" s="246"/>
      <c r="G140" s="246"/>
      <c r="H140" s="246"/>
      <c r="I140" s="247"/>
      <c r="J140" s="248" t="s">
        <v>501</v>
      </c>
      <c r="K140" s="251">
        <f t="shared" si="27"/>
        <v>60.1</v>
      </c>
    </row>
    <row r="141" spans="1:11" ht="38.25">
      <c r="B141" s="258" t="s">
        <v>548</v>
      </c>
      <c r="C141" s="255" t="str">
        <f>VLOOKUP(B141,'PLANILHA ORÇAMENTARIA'!B:J,3,0)</f>
        <v>Fôrma de tábua de madeira de 2.5x30.0cm, levando-se em conta utilização 3 vezes (incluindo o material, corte, montagem, escoramento e desforma)</v>
      </c>
      <c r="D141" s="256" t="str">
        <f>VLOOKUP(B141,'PLANILHA ORÇAMENTARIA'!B:J,5,0)</f>
        <v>m²</v>
      </c>
      <c r="E141" s="38">
        <v>29.2</v>
      </c>
      <c r="F141" s="246"/>
      <c r="G141" s="246"/>
      <c r="H141" s="246"/>
      <c r="I141" s="247"/>
      <c r="J141" s="248" t="s">
        <v>501</v>
      </c>
      <c r="K141" s="251">
        <f t="shared" si="27"/>
        <v>29.2</v>
      </c>
    </row>
    <row r="142" spans="1:11" ht="38.25">
      <c r="B142" s="258" t="s">
        <v>549</v>
      </c>
      <c r="C142" s="255" t="str">
        <f>VLOOKUP(B142,'PLANILHA ORÇAMENTARIA'!B:J,3,0)</f>
        <v>Fornecimento e aplicação de concreto USINADO Fck=30 MPa - considerando lançamento MANUAL para INFRA-ESTRUTURA (5% de perdas já incluído no custo)</v>
      </c>
      <c r="D142" s="256" t="str">
        <f>VLOOKUP(B142,'PLANILHA ORÇAMENTARIA'!B:J,5,0)</f>
        <v>m³</v>
      </c>
      <c r="E142" s="38">
        <v>8.8000000000000007</v>
      </c>
      <c r="F142" s="246"/>
      <c r="G142" s="246"/>
      <c r="H142" s="246"/>
      <c r="I142" s="247"/>
      <c r="J142" s="248" t="s">
        <v>501</v>
      </c>
      <c r="K142" s="251">
        <f t="shared" si="27"/>
        <v>8.8000000000000007</v>
      </c>
    </row>
    <row r="143" spans="1:11" ht="38.25">
      <c r="B143" s="258" t="s">
        <v>550</v>
      </c>
      <c r="C143" s="255" t="str">
        <f>VLOOKUP(B143,'PLANILHA ORÇAMENTARIA'!B:J,3,0)</f>
        <v>Fornecimento e instalação de reservatório metálico tipo taça de 30.000 litros pintura interna e externa com escada de acesso e base de concreto armado - areia e brita comerciais</v>
      </c>
      <c r="D143" s="256" t="str">
        <f>VLOOKUP(B143,'PLANILHA ORÇAMENTARIA'!B:J,5,0)</f>
        <v>und</v>
      </c>
      <c r="E143" s="38">
        <v>1</v>
      </c>
      <c r="F143" s="246"/>
      <c r="G143" s="246"/>
      <c r="H143" s="246"/>
      <c r="I143" s="247"/>
      <c r="J143" s="248" t="s">
        <v>518</v>
      </c>
      <c r="K143" s="251">
        <f t="shared" si="27"/>
        <v>1</v>
      </c>
    </row>
    <row r="144" spans="1:11">
      <c r="A144" s="22"/>
      <c r="B144" s="234">
        <v>12</v>
      </c>
      <c r="C144" s="297" t="str">
        <f>VLOOKUP(B144,'PLANILHA ORÇAMENTARIA'!B:J,2,0)</f>
        <v>DRENAGEM DE AGUAS PLUVIAIS</v>
      </c>
      <c r="D144" s="236"/>
      <c r="E144" s="236"/>
      <c r="F144" s="237"/>
      <c r="G144" s="237"/>
      <c r="H144" s="237"/>
      <c r="I144" s="237"/>
      <c r="J144" s="235"/>
      <c r="K144" s="238"/>
    </row>
    <row r="145" spans="1:11" ht="25.5">
      <c r="B145" s="258" t="s">
        <v>142</v>
      </c>
      <c r="C145" s="255" t="str">
        <f>VLOOKUP(B145,'PLANILHA ORÇAMENTARIA'!B:J,3,0)</f>
        <v>Tubo de PVC rígido soldável branco, para esgoto, diâmetro 100mm (4"), inclusive conexões</v>
      </c>
      <c r="D145" s="256" t="str">
        <f>VLOOKUP(B145,'PLANILHA ORÇAMENTARIA'!B:J,5,0)</f>
        <v>m</v>
      </c>
      <c r="E145" s="38"/>
      <c r="F145" s="246"/>
      <c r="G145" s="38">
        <v>241</v>
      </c>
      <c r="H145" s="246"/>
      <c r="I145" s="247"/>
      <c r="J145" s="248" t="s">
        <v>518</v>
      </c>
      <c r="K145" s="251">
        <f>G145</f>
        <v>241</v>
      </c>
    </row>
    <row r="146" spans="1:11" ht="51">
      <c r="B146" s="258" t="s">
        <v>143</v>
      </c>
      <c r="C146" s="255" t="str">
        <f>VLOOKUP(B146,'PLANILHA ORÇAMENTARIA'!B:J,3,0)</f>
        <v>Caixa de areia de alvenaria de blocos de concreto 9x19x39cm, dim. 60x60cm e Hmáx=1m, c/ tampa em concreto esp. 5cm, lastro concreto esp. 10cm, revestida intern. c/ chapisco e reboco impermeabilizante, incl. escavação e reaterro</v>
      </c>
      <c r="D146" s="256" t="str">
        <f>VLOOKUP(B146,'PLANILHA ORÇAMENTARIA'!B:J,5,0)</f>
        <v>und</v>
      </c>
      <c r="E146" s="38">
        <v>4</v>
      </c>
      <c r="F146" s="246"/>
      <c r="G146" s="246"/>
      <c r="H146" s="246"/>
      <c r="I146" s="247"/>
      <c r="J146" s="248" t="s">
        <v>518</v>
      </c>
      <c r="K146" s="251">
        <f t="shared" ref="K146:K147" si="28">E146</f>
        <v>4</v>
      </c>
    </row>
    <row r="147" spans="1:11" ht="38.25">
      <c r="B147" s="258" t="s">
        <v>144</v>
      </c>
      <c r="C147" s="255" t="str">
        <f>VLOOKUP(B147,'PLANILHA ORÇAMENTARIA'!B:J,3,0)</f>
        <v>RALO SIFONADO, PVC, DN 100 X 40 MM, JUNTA SOLDÁVEL, FORNECIDO E INSTALADO EM RAMAIS DE ENCAMINHAMENTO DE ÁGUA PLUVIAL. AF_12/2014</v>
      </c>
      <c r="D147" s="256" t="str">
        <f>VLOOKUP(B147,'PLANILHA ORÇAMENTARIA'!B:J,5,0)</f>
        <v>und</v>
      </c>
      <c r="E147" s="38">
        <v>19</v>
      </c>
      <c r="F147" s="246"/>
      <c r="G147" s="246"/>
      <c r="H147" s="246"/>
      <c r="I147" s="247"/>
      <c r="J147" s="248" t="s">
        <v>518</v>
      </c>
      <c r="K147" s="251">
        <f t="shared" si="28"/>
        <v>19</v>
      </c>
    </row>
    <row r="148" spans="1:11">
      <c r="A148" s="22"/>
      <c r="B148" s="234">
        <v>13</v>
      </c>
      <c r="C148" s="297" t="str">
        <f>VLOOKUP(B148,'PLANILHA ORÇAMENTARIA'!B:J,2,0)</f>
        <v>INSTALAÇÃO SANITÁRIA</v>
      </c>
      <c r="D148" s="236"/>
      <c r="E148" s="236"/>
      <c r="F148" s="237"/>
      <c r="G148" s="237"/>
      <c r="H148" s="237"/>
      <c r="I148" s="237"/>
      <c r="J148" s="235"/>
      <c r="K148" s="238"/>
    </row>
    <row r="149" spans="1:11" ht="25.5">
      <c r="B149" s="258" t="s">
        <v>145</v>
      </c>
      <c r="C149" s="255" t="str">
        <f>VLOOKUP(B149,'PLANILHA ORÇAMENTARIA'!B:J,3,0)</f>
        <v>Tubo de PVC rígido soldável branco, para esgoto, diâmetro 40mm (1 1/2"), inclusive conexões</v>
      </c>
      <c r="D149" s="256" t="str">
        <f>VLOOKUP(B149,'PLANILHA ORÇAMENTARIA'!B:J,5,0)</f>
        <v>m</v>
      </c>
      <c r="E149" s="38"/>
      <c r="F149" s="246"/>
      <c r="G149" s="38">
        <v>19</v>
      </c>
      <c r="H149" s="246"/>
      <c r="I149" s="247"/>
      <c r="J149" s="248" t="s">
        <v>518</v>
      </c>
      <c r="K149" s="251">
        <f>G149</f>
        <v>19</v>
      </c>
    </row>
    <row r="150" spans="1:11" ht="25.5">
      <c r="B150" s="258" t="s">
        <v>146</v>
      </c>
      <c r="C150" s="255" t="str">
        <f>VLOOKUP(B150,'PLANILHA ORÇAMENTARIA'!B:J,3,0)</f>
        <v>Tubo de PVC rígido soldável branco, para esgoto, diâmetro 50mm (2"), inclusive conexões</v>
      </c>
      <c r="D150" s="256" t="str">
        <f>VLOOKUP(B150,'PLANILHA ORÇAMENTARIA'!B:J,5,0)</f>
        <v>m</v>
      </c>
      <c r="E150" s="38"/>
      <c r="F150" s="246"/>
      <c r="G150" s="38">
        <v>43</v>
      </c>
      <c r="H150" s="246"/>
      <c r="I150" s="247"/>
      <c r="J150" s="248" t="s">
        <v>518</v>
      </c>
      <c r="K150" s="251">
        <f t="shared" ref="K150:K153" si="29">G150</f>
        <v>43</v>
      </c>
    </row>
    <row r="151" spans="1:11" ht="25.5">
      <c r="B151" s="258" t="s">
        <v>147</v>
      </c>
      <c r="C151" s="255" t="str">
        <f>VLOOKUP(B151,'PLANILHA ORÇAMENTARIA'!B:J,3,0)</f>
        <v>Tubo de PVC rígido soldável branco, para esgoto, diâmetro 75mm (3"), inclusive conexões</v>
      </c>
      <c r="D151" s="256" t="str">
        <f>VLOOKUP(B151,'PLANILHA ORÇAMENTARIA'!B:J,5,0)</f>
        <v>m</v>
      </c>
      <c r="E151" s="38"/>
      <c r="F151" s="246"/>
      <c r="G151" s="38">
        <v>13</v>
      </c>
      <c r="H151" s="246"/>
      <c r="I151" s="247"/>
      <c r="J151" s="248" t="s">
        <v>518</v>
      </c>
      <c r="K151" s="251">
        <f t="shared" si="29"/>
        <v>13</v>
      </c>
    </row>
    <row r="152" spans="1:11" ht="25.5">
      <c r="B152" s="258" t="s">
        <v>163</v>
      </c>
      <c r="C152" s="255" t="str">
        <f>VLOOKUP(B152,'PLANILHA ORÇAMENTARIA'!B:J,3,0)</f>
        <v>Tubo de PVC rígido soldável branco, para esgoto, diâmetro 100mm (4"), inclusive conexões</v>
      </c>
      <c r="D152" s="256" t="str">
        <f>VLOOKUP(B152,'PLANILHA ORÇAMENTARIA'!B:J,5,0)</f>
        <v>m</v>
      </c>
      <c r="E152" s="38"/>
      <c r="F152" s="246"/>
      <c r="G152" s="38">
        <v>130</v>
      </c>
      <c r="H152" s="246"/>
      <c r="I152" s="247"/>
      <c r="J152" s="248" t="s">
        <v>518</v>
      </c>
      <c r="K152" s="251">
        <f t="shared" si="29"/>
        <v>130</v>
      </c>
    </row>
    <row r="153" spans="1:11" ht="25.5">
      <c r="B153" s="258" t="s">
        <v>164</v>
      </c>
      <c r="C153" s="255" t="str">
        <f>VLOOKUP(B153,'PLANILHA ORÇAMENTARIA'!B:J,3,0)</f>
        <v>Tubo de PVC rígido soldável branco, para esgoto, diâmetro 150mm (6"), inclusive conexões</v>
      </c>
      <c r="D153" s="256" t="str">
        <f>VLOOKUP(B153,'PLANILHA ORÇAMENTARIA'!B:J,5,0)</f>
        <v>m</v>
      </c>
      <c r="E153" s="38"/>
      <c r="F153" s="246"/>
      <c r="G153" s="38">
        <v>55</v>
      </c>
      <c r="H153" s="246"/>
      <c r="I153" s="247"/>
      <c r="J153" s="248" t="s">
        <v>518</v>
      </c>
      <c r="K153" s="251">
        <f t="shared" si="29"/>
        <v>55</v>
      </c>
    </row>
    <row r="154" spans="1:11" ht="51">
      <c r="B154" s="258" t="s">
        <v>165</v>
      </c>
      <c r="C154" s="255" t="str">
        <f>VLOOKUP(B154,'PLANILHA ORÇAMENTARIA'!B:J,3,0)</f>
        <v>Caixa de gordura de alv. bloco concreto 9x19x39cm, dim.60x60cm e Hmáx=1m, com tampa em concreto esp.5cm, lastro concreto esp.10cm, revestida intern. c/ chapisco e reboco impermeab, escavação, reaterro e parede interna em concreto</v>
      </c>
      <c r="D154" s="256" t="str">
        <f>VLOOKUP(B154,'PLANILHA ORÇAMENTARIA'!B:J,5,0)</f>
        <v>und</v>
      </c>
      <c r="E154" s="38">
        <v>1</v>
      </c>
      <c r="F154" s="246"/>
      <c r="G154" s="246"/>
      <c r="H154" s="246"/>
      <c r="I154" s="247"/>
      <c r="J154" s="248" t="s">
        <v>518</v>
      </c>
      <c r="K154" s="251">
        <f t="shared" ref="K154:K156" si="30">E154</f>
        <v>1</v>
      </c>
    </row>
    <row r="155" spans="1:11" ht="51">
      <c r="B155" s="258" t="s">
        <v>287</v>
      </c>
      <c r="C155" s="255" t="str">
        <f>VLOOKUP(B155,'PLANILHA ORÇAMENTARIA'!B:J,3,0)</f>
        <v>Caixas de inspeção de alv. blocos concreto 9x19x39cm, dim, 60x60cm e Hmáx = 1m, com tampa de conc.esp. 5cm, lastro de conc. esp. 10cm, revest intern. c/ chapisco e reboco impermeabilizado, incl. escavação, reaterro e enchimento</v>
      </c>
      <c r="D155" s="256" t="str">
        <f>VLOOKUP(B155,'PLANILHA ORÇAMENTARIA'!B:J,5,0)</f>
        <v>und</v>
      </c>
      <c r="E155" s="38">
        <v>3</v>
      </c>
      <c r="F155" s="246"/>
      <c r="G155" s="246"/>
      <c r="H155" s="246"/>
      <c r="I155" s="247"/>
      <c r="J155" s="248" t="s">
        <v>518</v>
      </c>
      <c r="K155" s="251">
        <f t="shared" si="30"/>
        <v>3</v>
      </c>
    </row>
    <row r="156" spans="1:11" ht="38.25">
      <c r="B156" s="258" t="s">
        <v>433</v>
      </c>
      <c r="C156" s="255" t="str">
        <f>VLOOKUP(B156,'PLANILHA ORÇAMENTARIA'!B:J,3,0)</f>
        <v>RALO SIFONADO, PVC, DN 100 X 40 MM, JUNTA SOLDÁVEL, FORNECIDO E INSTALADO EM RAMAL DE DESCARGA OU EM RAMAL DE ESGOTO SANITÁRIO. AF_12/2014</v>
      </c>
      <c r="D156" s="256" t="str">
        <f>VLOOKUP(B156,'PLANILHA ORÇAMENTARIA'!B:J,5,0)</f>
        <v>und</v>
      </c>
      <c r="E156" s="38">
        <v>13</v>
      </c>
      <c r="F156" s="246"/>
      <c r="G156" s="246"/>
      <c r="H156" s="246"/>
      <c r="I156" s="247"/>
      <c r="J156" s="248" t="s">
        <v>518</v>
      </c>
      <c r="K156" s="251">
        <f t="shared" si="30"/>
        <v>13</v>
      </c>
    </row>
    <row r="157" spans="1:11">
      <c r="A157" s="22"/>
      <c r="B157" s="234">
        <v>14</v>
      </c>
      <c r="C157" s="297" t="str">
        <f>VLOOKUP(B157,'PLANILHA ORÇAMENTARIA'!B:J,2,0)</f>
        <v>LOUÇAS, ACESSORIOS E METAIS</v>
      </c>
      <c r="D157" s="236"/>
      <c r="E157" s="236"/>
      <c r="F157" s="237"/>
      <c r="G157" s="237"/>
      <c r="H157" s="237"/>
      <c r="I157" s="237"/>
      <c r="J157" s="235"/>
      <c r="K157" s="238"/>
    </row>
    <row r="158" spans="1:11" ht="38.25">
      <c r="B158" s="258" t="s">
        <v>148</v>
      </c>
      <c r="C158" s="255" t="str">
        <f>VLOOKUP(B158,'PLANILHA ORÇAMENTARIA'!B:J,3,0)</f>
        <v>Vaso sanitário padrão popular completo com acessórios para ligação, marcas de referência Deca, Celite ou Ideal Standard, inclusive assento plástico</v>
      </c>
      <c r="D158" s="256" t="str">
        <f>VLOOKUP(B158,'PLANILHA ORÇAMENTARIA'!B:J,5,0)</f>
        <v>und</v>
      </c>
      <c r="E158" s="38">
        <v>14</v>
      </c>
      <c r="F158" s="246"/>
      <c r="G158" s="246"/>
      <c r="H158" s="246"/>
      <c r="I158" s="247"/>
      <c r="J158" s="248" t="s">
        <v>504</v>
      </c>
      <c r="K158" s="251">
        <f t="shared" ref="K158" si="31">E158</f>
        <v>14</v>
      </c>
    </row>
    <row r="159" spans="1:11" ht="51">
      <c r="B159" s="258" t="s">
        <v>149</v>
      </c>
      <c r="C159" s="255" t="str">
        <f>VLOOKUP(B159,'PLANILHA ORÇAMENTARIA'!B:J,3,0)</f>
        <v>VASO SANITARIO SIFONADO CONVENCIONAL PARA PCD SEM FURO FRONTAL COM LOUÇA BRANCA SEM ASSENTO, INCLUSO CONJUNTO DE LIGAÇÃO PARA BACIA SANITÁRIA AJUSTÁVEL - FORNECIMENTO E INSTALAÇÃO. AF_01/2020</v>
      </c>
      <c r="D159" s="256" t="str">
        <f>VLOOKUP(B159,'PLANILHA ORÇAMENTARIA'!B:J,5,0)</f>
        <v>und</v>
      </c>
      <c r="E159" s="38">
        <v>5</v>
      </c>
      <c r="F159" s="246"/>
      <c r="G159" s="246"/>
      <c r="H159" s="246"/>
      <c r="I159" s="247"/>
      <c r="J159" s="248" t="s">
        <v>504</v>
      </c>
      <c r="K159" s="251">
        <f t="shared" ref="K159:K175" si="32">E159</f>
        <v>5</v>
      </c>
    </row>
    <row r="160" spans="1:11" ht="25.5">
      <c r="B160" s="258" t="s">
        <v>150</v>
      </c>
      <c r="C160" s="255" t="str">
        <f>VLOOKUP(B160,'PLANILHA ORÇAMENTARIA'!B:J,3,0)</f>
        <v>Bacia sifonada de louça branca com caixa acoplada, inclusive acessórios</v>
      </c>
      <c r="D160" s="256" t="str">
        <f>VLOOKUP(B160,'PLANILHA ORÇAMENTARIA'!B:J,5,0)</f>
        <v>und</v>
      </c>
      <c r="E160" s="38">
        <v>2</v>
      </c>
      <c r="F160" s="246"/>
      <c r="G160" s="246"/>
      <c r="H160" s="246"/>
      <c r="I160" s="247"/>
      <c r="J160" s="248" t="s">
        <v>504</v>
      </c>
      <c r="K160" s="251">
        <f t="shared" si="32"/>
        <v>2</v>
      </c>
    </row>
    <row r="161" spans="2:11" ht="38.25">
      <c r="B161" s="258" t="s">
        <v>151</v>
      </c>
      <c r="C161" s="255" t="str">
        <f>VLOOKUP(B161,'PLANILHA ORÇAMENTARIA'!B:J,3,0)</f>
        <v>BARRA DE APOIO RETA, EM ACO INOX POLIDO, COMPRIMENTO 80 CM, FIXADA NA PAREDE - FORNECIMENTO E INSTALAÇÃO. AF_01/2020</v>
      </c>
      <c r="D161" s="256" t="str">
        <f>VLOOKUP(B161,'PLANILHA ORÇAMENTARIA'!B:J,5,0)</f>
        <v>und</v>
      </c>
      <c r="E161" s="38">
        <v>10</v>
      </c>
      <c r="F161" s="246"/>
      <c r="G161" s="246"/>
      <c r="H161" s="246"/>
      <c r="I161" s="247"/>
      <c r="J161" s="248" t="s">
        <v>504</v>
      </c>
      <c r="K161" s="251">
        <f t="shared" si="32"/>
        <v>10</v>
      </c>
    </row>
    <row r="162" spans="2:11" ht="25.5">
      <c r="B162" s="258" t="s">
        <v>152</v>
      </c>
      <c r="C162" s="255" t="str">
        <f>VLOOKUP(B162,'PLANILHA ORÇAMENTARIA'!B:J,3,0)</f>
        <v>VÁLVULA DE DESCARGA METÁLICA, BASE 1 1/2", ACABAMENTO METALICO CROMADO - FORNECIMENTO E INSTALAÇÃO. AF_08/2021</v>
      </c>
      <c r="D162" s="256" t="str">
        <f>VLOOKUP(B162,'PLANILHA ORÇAMENTARIA'!B:J,5,0)</f>
        <v>und</v>
      </c>
      <c r="E162" s="38">
        <v>19</v>
      </c>
      <c r="F162" s="246"/>
      <c r="G162" s="246"/>
      <c r="H162" s="246"/>
      <c r="I162" s="247"/>
      <c r="J162" s="248" t="s">
        <v>504</v>
      </c>
      <c r="K162" s="251">
        <f t="shared" si="32"/>
        <v>19</v>
      </c>
    </row>
    <row r="163" spans="2:11" ht="25.5">
      <c r="B163" s="258" t="s">
        <v>153</v>
      </c>
      <c r="C163" s="255" t="str">
        <f>VLOOKUP(B163,'PLANILHA ORÇAMENTARIA'!B:J,3,0)</f>
        <v>CUBA DE EMBUTIR OVAL EM LOUÇA BRANCA, 35 X 50CM OU EQUIVALENTE - FORNECIMENTO E INSTALAÇÃO. AF_01/2020</v>
      </c>
      <c r="D163" s="256" t="str">
        <f>VLOOKUP(B163,'PLANILHA ORÇAMENTARIA'!B:J,5,0)</f>
        <v>und</v>
      </c>
      <c r="E163" s="38">
        <v>8</v>
      </c>
      <c r="F163" s="246"/>
      <c r="G163" s="246"/>
      <c r="H163" s="246"/>
      <c r="I163" s="247"/>
      <c r="J163" s="248" t="s">
        <v>504</v>
      </c>
      <c r="K163" s="251">
        <f t="shared" si="32"/>
        <v>8</v>
      </c>
    </row>
    <row r="164" spans="2:11" ht="25.5">
      <c r="B164" s="258" t="s">
        <v>191</v>
      </c>
      <c r="C164" s="255" t="str">
        <f>VLOOKUP(B164,'PLANILHA ORÇAMENTARIA'!B:J,3,0)</f>
        <v>CUBA DE EMBUTIR RETANGULAR DE AÇO INOXIDÁVEL, 56 X 33 X 12 CM - FORNECIMENTO E INSTALAÇÃO. AF_01/2020</v>
      </c>
      <c r="D164" s="256" t="str">
        <f>VLOOKUP(B164,'PLANILHA ORÇAMENTARIA'!B:J,5,0)</f>
        <v>und</v>
      </c>
      <c r="E164" s="38">
        <v>4</v>
      </c>
      <c r="F164" s="246"/>
      <c r="G164" s="246"/>
      <c r="H164" s="246"/>
      <c r="I164" s="247"/>
      <c r="J164" s="248" t="s">
        <v>504</v>
      </c>
      <c r="K164" s="251">
        <f t="shared" si="32"/>
        <v>4</v>
      </c>
    </row>
    <row r="165" spans="2:11" ht="38.25">
      <c r="B165" s="258" t="s">
        <v>192</v>
      </c>
      <c r="C165" s="255" t="str">
        <f>VLOOKUP(B165,'PLANILHA ORÇAMENTARIA'!B:J,3,0)</f>
        <v>Lavátorio de louça branca de canto p/ banheiro PNE, Coleção Master L.76.17, Ref. Deca ou equivalente, incl. válvula, sifão e engates metálicos cromados, exclusive torneira</v>
      </c>
      <c r="D165" s="256" t="str">
        <f>VLOOKUP(B165,'PLANILHA ORÇAMENTARIA'!B:J,5,0)</f>
        <v>und</v>
      </c>
      <c r="E165" s="38">
        <v>5</v>
      </c>
      <c r="F165" s="246"/>
      <c r="G165" s="246"/>
      <c r="H165" s="246"/>
      <c r="I165" s="247"/>
      <c r="J165" s="248" t="s">
        <v>504</v>
      </c>
      <c r="K165" s="251">
        <f t="shared" si="32"/>
        <v>5</v>
      </c>
    </row>
    <row r="166" spans="2:11" ht="25.5">
      <c r="B166" s="258" t="s">
        <v>342</v>
      </c>
      <c r="C166" s="255" t="str">
        <f>VLOOKUP(B166,'PLANILHA ORÇAMENTARIA'!B:J,3,0)</f>
        <v>LAVATÓRIO LOUÇA BRANCA COM COLUNA, *44 X 35,5* CM, PADRÃO POPULAR - FORNECIMENTO E INSTALAÇÃO</v>
      </c>
      <c r="D166" s="256" t="str">
        <f>VLOOKUP(B166,'PLANILHA ORÇAMENTARIA'!B:J,5,0)</f>
        <v>und</v>
      </c>
      <c r="E166" s="38">
        <v>2</v>
      </c>
      <c r="F166" s="246"/>
      <c r="G166" s="246"/>
      <c r="H166" s="246"/>
      <c r="I166" s="247"/>
      <c r="J166" s="248" t="s">
        <v>504</v>
      </c>
      <c r="K166" s="251">
        <f t="shared" si="32"/>
        <v>2</v>
      </c>
    </row>
    <row r="167" spans="2:11" ht="25.5">
      <c r="B167" s="258" t="s">
        <v>343</v>
      </c>
      <c r="C167" s="255" t="str">
        <f>VLOOKUP(B167,'PLANILHA ORÇAMENTARIA'!B:J,3,0)</f>
        <v>Tanque em mármore sintético com 2 bojos, inclusive válvula e sifão em PVC</v>
      </c>
      <c r="D167" s="256" t="str">
        <f>VLOOKUP(B167,'PLANILHA ORÇAMENTARIA'!B:J,5,0)</f>
        <v>und</v>
      </c>
      <c r="E167" s="38">
        <v>1</v>
      </c>
      <c r="F167" s="246"/>
      <c r="G167" s="246"/>
      <c r="H167" s="246"/>
      <c r="I167" s="247"/>
      <c r="J167" s="248" t="s">
        <v>504</v>
      </c>
      <c r="K167" s="251">
        <f t="shared" si="32"/>
        <v>1</v>
      </c>
    </row>
    <row r="168" spans="2:11" ht="25.5">
      <c r="B168" s="258" t="s">
        <v>344</v>
      </c>
      <c r="C168" s="255" t="str">
        <f>VLOOKUP(B168,'PLANILHA ORÇAMENTARIA'!B:J,3,0)</f>
        <v>PAPELEIRA DE PAREDE EM METAL CROMADO SEM TAMPA, INCLUSO FIXAÇÃO. AF/2020</v>
      </c>
      <c r="D168" s="256" t="str">
        <f>VLOOKUP(B168,'PLANILHA ORÇAMENTARIA'!B:J,5,0)</f>
        <v>und</v>
      </c>
      <c r="E168" s="38">
        <v>7</v>
      </c>
      <c r="F168" s="246"/>
      <c r="G168" s="246"/>
      <c r="H168" s="246"/>
      <c r="I168" s="247"/>
      <c r="J168" s="248" t="s">
        <v>504</v>
      </c>
      <c r="K168" s="251">
        <f t="shared" si="32"/>
        <v>7</v>
      </c>
    </row>
    <row r="169" spans="2:11" ht="38.25">
      <c r="B169" s="258" t="s">
        <v>345</v>
      </c>
      <c r="C169" s="255" t="str">
        <f>VLOOKUP(B169,'PLANILHA ORÇAMENTARIA'!B:J,3,0)</f>
        <v>SABONETEIRA PLASTICA TIPO DISPENSER PARA SABONETE LIQUIDO COM RESERVATORIO 800 A 1500 ML, INCLUSO FIXAÇÃO. AF_01/2020</v>
      </c>
      <c r="D169" s="256" t="str">
        <f>VLOOKUP(B169,'PLANILHA ORÇAMENTARIA'!B:J,5,0)</f>
        <v>und</v>
      </c>
      <c r="E169" s="38">
        <v>7</v>
      </c>
      <c r="F169" s="246"/>
      <c r="G169" s="246"/>
      <c r="H169" s="246"/>
      <c r="I169" s="247"/>
      <c r="J169" s="248" t="s">
        <v>504</v>
      </c>
      <c r="K169" s="251">
        <f t="shared" si="32"/>
        <v>7</v>
      </c>
    </row>
    <row r="170" spans="2:11" ht="25.5">
      <c r="B170" s="258" t="s">
        <v>346</v>
      </c>
      <c r="C170" s="255" t="str">
        <f>VLOOKUP(B170,'PLANILHA ORÇAMENTARIA'!B:J,3,0)</f>
        <v>Torneira pressão cromada diâm. 1/2" para lavatório, marcas de referência Fabrimar, Deca ou Docol</v>
      </c>
      <c r="D170" s="256" t="str">
        <f>VLOOKUP(B170,'PLANILHA ORÇAMENTARIA'!B:J,5,0)</f>
        <v>und</v>
      </c>
      <c r="E170" s="38">
        <v>15</v>
      </c>
      <c r="F170" s="246"/>
      <c r="G170" s="246"/>
      <c r="H170" s="246"/>
      <c r="I170" s="247"/>
      <c r="J170" s="248" t="s">
        <v>504</v>
      </c>
      <c r="K170" s="251">
        <f t="shared" si="32"/>
        <v>15</v>
      </c>
    </row>
    <row r="171" spans="2:11" ht="25.5">
      <c r="B171" s="258" t="s">
        <v>347</v>
      </c>
      <c r="C171" s="255" t="str">
        <f>VLOOKUP(B171,'PLANILHA ORÇAMENTARIA'!B:J,3,0)</f>
        <v>Torneira pressão cromada diam. 3/4" para uso geral, marcas de referência Fabrimar, Deca ou Docol</v>
      </c>
      <c r="D171" s="256" t="str">
        <f>VLOOKUP(B171,'PLANILHA ORÇAMENTARIA'!B:J,5,0)</f>
        <v>und</v>
      </c>
      <c r="E171" s="38">
        <v>2</v>
      </c>
      <c r="F171" s="246"/>
      <c r="G171" s="246"/>
      <c r="H171" s="246"/>
      <c r="I171" s="247"/>
      <c r="J171" s="248" t="s">
        <v>504</v>
      </c>
      <c r="K171" s="251">
        <f t="shared" si="32"/>
        <v>2</v>
      </c>
    </row>
    <row r="172" spans="2:11" ht="25.5">
      <c r="B172" s="258" t="s">
        <v>348</v>
      </c>
      <c r="C172" s="255" t="str">
        <f>VLOOKUP(B172,'PLANILHA ORÇAMENTARIA'!B:J,3,0)</f>
        <v>Torneira para jardim de 3/4" marcas de referência Fabrimar, Deca ou Docol</v>
      </c>
      <c r="D172" s="256" t="str">
        <f>VLOOKUP(B172,'PLANILHA ORÇAMENTARIA'!B:J,5,0)</f>
        <v>und</v>
      </c>
      <c r="E172" s="38">
        <v>1</v>
      </c>
      <c r="F172" s="246"/>
      <c r="G172" s="246"/>
      <c r="H172" s="246"/>
      <c r="I172" s="247"/>
      <c r="J172" s="248" t="s">
        <v>504</v>
      </c>
      <c r="K172" s="251">
        <f t="shared" si="32"/>
        <v>1</v>
      </c>
    </row>
    <row r="173" spans="2:11" ht="25.5">
      <c r="B173" s="258" t="s">
        <v>349</v>
      </c>
      <c r="C173" s="255" t="str">
        <f>VLOOKUP(B173,'PLANILHA ORÇAMENTARIA'!B:J,3,0)</f>
        <v>Torneira pressão cromada diam. 1/2" para pia, marcas de referência Fabrimar, Deca ou Docol</v>
      </c>
      <c r="D173" s="256" t="str">
        <f>VLOOKUP(B173,'PLANILHA ORÇAMENTARIA'!B:J,5,0)</f>
        <v>und</v>
      </c>
      <c r="E173" s="38">
        <v>4</v>
      </c>
      <c r="F173" s="246"/>
      <c r="G173" s="246"/>
      <c r="H173" s="246"/>
      <c r="I173" s="247"/>
      <c r="J173" s="248" t="s">
        <v>504</v>
      </c>
      <c r="K173" s="251">
        <f t="shared" si="32"/>
        <v>4</v>
      </c>
    </row>
    <row r="174" spans="2:11" ht="25.5">
      <c r="B174" s="258" t="s">
        <v>350</v>
      </c>
      <c r="C174" s="255" t="str">
        <f>VLOOKUP(B174,'PLANILHA ORÇAMENTARIA'!B:J,3,0)</f>
        <v>Ducha manual Acqua jet , linha Aquarius, com registro ref.C 2195, marcas de referência Fabrimar, Deca ou Docol</v>
      </c>
      <c r="D174" s="256" t="str">
        <f>VLOOKUP(B174,'PLANILHA ORÇAMENTARIA'!B:J,5,0)</f>
        <v>und</v>
      </c>
      <c r="E174" s="38">
        <v>21</v>
      </c>
      <c r="F174" s="246"/>
      <c r="G174" s="246"/>
      <c r="H174" s="246"/>
      <c r="I174" s="247"/>
      <c r="J174" s="248" t="s">
        <v>504</v>
      </c>
      <c r="K174" s="251">
        <f t="shared" si="32"/>
        <v>21</v>
      </c>
    </row>
    <row r="175" spans="2:11" ht="25.5">
      <c r="B175" s="258" t="s">
        <v>351</v>
      </c>
      <c r="C175" s="255" t="str">
        <f>VLOOKUP(B175,'PLANILHA ORÇAMENTARIA'!B:J,3,0)</f>
        <v>Bancada de granito com espessura de 2 cm</v>
      </c>
      <c r="D175" s="256" t="str">
        <f>VLOOKUP(B175,'PLANILHA ORÇAMENTARIA'!B:J,5,0)</f>
        <v>m²</v>
      </c>
      <c r="E175" s="38">
        <v>9</v>
      </c>
      <c r="F175" s="246"/>
      <c r="G175" s="246"/>
      <c r="H175" s="246"/>
      <c r="I175" s="247"/>
      <c r="J175" s="248" t="s">
        <v>504</v>
      </c>
      <c r="K175" s="251">
        <f t="shared" si="32"/>
        <v>9</v>
      </c>
    </row>
    <row r="176" spans="2:11" ht="38.25">
      <c r="B176" s="258" t="s">
        <v>352</v>
      </c>
      <c r="C176" s="255" t="str">
        <f>VLOOKUP(B176,'PLANILHA ORÇAMENTARIA'!B:J,3,0)</f>
        <v>Espelho para banheiros espessura 4 mm, incluindo chapa compensada 10 mm, moldura de alumínio em perfil L 3/4", fixado com parafusos cromados</v>
      </c>
      <c r="D176" s="256" t="str">
        <f>VLOOKUP(B176,'PLANILHA ORÇAMENTARIA'!B:J,5,0)</f>
        <v>m²</v>
      </c>
      <c r="E176" s="38">
        <v>4</v>
      </c>
      <c r="F176" s="246">
        <v>0.9</v>
      </c>
      <c r="G176" s="246">
        <v>1.2</v>
      </c>
      <c r="H176" s="246"/>
      <c r="I176" s="247"/>
      <c r="J176" s="248" t="s">
        <v>504</v>
      </c>
      <c r="K176" s="251">
        <f>E176*F176*G176</f>
        <v>4.32</v>
      </c>
    </row>
    <row r="177" spans="1:11">
      <c r="A177" s="22"/>
      <c r="B177" s="234">
        <v>15</v>
      </c>
      <c r="C177" s="297" t="str">
        <f>VLOOKUP(B177,'PLANILHA ORÇAMENTARIA'!B:J,2,0)</f>
        <v>INSTALAÇÃO DE GÁS COMBUSTÍVEL</v>
      </c>
      <c r="D177" s="236"/>
      <c r="E177" s="236"/>
      <c r="F177" s="237"/>
      <c r="G177" s="237"/>
      <c r="H177" s="237"/>
      <c r="I177" s="237"/>
      <c r="J177" s="235"/>
      <c r="K177" s="238"/>
    </row>
    <row r="178" spans="1:11" ht="38.25">
      <c r="B178" s="258" t="s">
        <v>154</v>
      </c>
      <c r="C178" s="255" t="str">
        <f>VLOOKUP(B178,'PLANILHA ORÇAMENTARIA'!B:J,3,0)</f>
        <v>TUBO DE AÇO GALVANIZADO COM COSTURA, CLASSE MÉDIA, CONEXÃO ROSQUEADA, DN 20 (3/4"), INSTALADO EM RAMAIS E SUB-RAMAIS DE GÁS - FORNECIMENTO E INSTALAÇÃO. AF_10/2020</v>
      </c>
      <c r="D178" s="256" t="str">
        <f>VLOOKUP(B178,'PLANILHA ORÇAMENTARIA'!B:J,5,0)</f>
        <v>m</v>
      </c>
      <c r="E178" s="38"/>
      <c r="F178" s="246"/>
      <c r="G178" s="38">
        <v>42</v>
      </c>
      <c r="H178" s="246"/>
      <c r="I178" s="247"/>
      <c r="J178" s="248" t="s">
        <v>523</v>
      </c>
      <c r="K178" s="251">
        <f>G178</f>
        <v>42</v>
      </c>
    </row>
    <row r="179" spans="1:11" ht="25.5">
      <c r="B179" s="258" t="s">
        <v>155</v>
      </c>
      <c r="C179" s="255" t="str">
        <f>VLOOKUP(B179,'PLANILHA ORÇAMENTARIA'!B:J,3,0)</f>
        <v>REGISTRO OU REGULADOR DE GÁS DE COZINHA - FORNECIMENTO E INSTALAÇÃO</v>
      </c>
      <c r="D179" s="256" t="str">
        <f>VLOOKUP(B179,'PLANILHA ORÇAMENTARIA'!B:J,5,0)</f>
        <v>und</v>
      </c>
      <c r="E179" s="38">
        <v>3</v>
      </c>
      <c r="F179" s="246"/>
      <c r="G179" s="246"/>
      <c r="H179" s="246"/>
      <c r="I179" s="247"/>
      <c r="J179" s="248" t="s">
        <v>523</v>
      </c>
      <c r="K179" s="251">
        <f t="shared" ref="K179:K180" si="33">E179</f>
        <v>3</v>
      </c>
    </row>
    <row r="180" spans="1:11" ht="25.5">
      <c r="B180" s="258" t="s">
        <v>167</v>
      </c>
      <c r="C180" s="255" t="str">
        <f>VLOOKUP(B180,'PLANILHA ORÇAMENTARIA'!B:J,3,0)</f>
        <v>MANÔMETRO 0 A 200 PSI (0 A 14 KGF/CM2), D = 50MM - FORNECIMENTO E INSTALAÇÃO. AF_10/2020</v>
      </c>
      <c r="D180" s="256" t="str">
        <f>VLOOKUP(B180,'PLANILHA ORÇAMENTARIA'!B:J,5,0)</f>
        <v>und</v>
      </c>
      <c r="E180" s="38">
        <v>1</v>
      </c>
      <c r="F180" s="246"/>
      <c r="G180" s="246"/>
      <c r="H180" s="246"/>
      <c r="I180" s="247"/>
      <c r="J180" s="248" t="s">
        <v>523</v>
      </c>
      <c r="K180" s="251">
        <f t="shared" si="33"/>
        <v>1</v>
      </c>
    </row>
    <row r="181" spans="1:11">
      <c r="A181" s="22"/>
      <c r="B181" s="234">
        <v>16</v>
      </c>
      <c r="C181" s="297" t="str">
        <f>VLOOKUP(B181,'PLANILHA ORÇAMENTARIA'!B:J,2,0)</f>
        <v>SISTEMA DEPROTEÇÃO CONTRA INCÊNDIO</v>
      </c>
      <c r="D181" s="236"/>
      <c r="E181" s="236"/>
      <c r="F181" s="237"/>
      <c r="G181" s="237"/>
      <c r="H181" s="237"/>
      <c r="I181" s="237"/>
      <c r="J181" s="235"/>
      <c r="K181" s="238"/>
    </row>
    <row r="182" spans="1:11" ht="25.5">
      <c r="B182" s="258" t="s">
        <v>168</v>
      </c>
      <c r="C182" s="255" t="str">
        <f>VLOOKUP(B182,'PLANILHA ORÇAMENTARIA'!B:J,3,0)</f>
        <v>Bomba centrífuga trifásica 5CV, modelo 620 Dancor, ou equivalente</v>
      </c>
      <c r="D182" s="256" t="str">
        <f>VLOOKUP(B182,'PLANILHA ORÇAMENTARIA'!B:J,5,0)</f>
        <v>und</v>
      </c>
      <c r="E182" s="38">
        <v>2</v>
      </c>
      <c r="F182" s="246"/>
      <c r="G182" s="246"/>
      <c r="H182" s="246"/>
      <c r="I182" s="247"/>
      <c r="J182" s="248" t="s">
        <v>524</v>
      </c>
      <c r="K182" s="251">
        <f t="shared" ref="K182" si="34">E182</f>
        <v>2</v>
      </c>
    </row>
    <row r="183" spans="1:11" ht="38.25">
      <c r="B183" s="258" t="s">
        <v>169</v>
      </c>
      <c r="C183" s="255" t="str">
        <f>VLOOKUP(B183,'PLANILHA ORÇAMENTARIA'!B:J,3,0)</f>
        <v>Extintor de incêndio de gás carbônico CO2 5 B:C (6 Kg), inclusive suporte para fixação, EXCLUSIVE placa sinalizadora em PVC fotoluminescente</v>
      </c>
      <c r="D183" s="256" t="str">
        <f>VLOOKUP(B183,'PLANILHA ORÇAMENTARIA'!B:J,5,0)</f>
        <v>und</v>
      </c>
      <c r="E183" s="38">
        <v>6</v>
      </c>
      <c r="F183" s="246"/>
      <c r="G183" s="246"/>
      <c r="H183" s="246"/>
      <c r="I183" s="247"/>
      <c r="J183" s="248" t="s">
        <v>524</v>
      </c>
      <c r="K183" s="251">
        <f t="shared" ref="K183:K191" si="35">E183</f>
        <v>6</v>
      </c>
    </row>
    <row r="184" spans="1:11" ht="38.25">
      <c r="B184" s="258" t="s">
        <v>292</v>
      </c>
      <c r="C184" s="255" t="str">
        <f>VLOOKUP(B184,'PLANILHA ORÇAMENTARIA'!B:J,3,0)</f>
        <v xml:space="preserve">Extintor de incêndio de água pressurizada capacidade 2A (10L), inclusive suporte para fixação e EXCLUSIVE placa sinalizadora em PVC Fotoluminescente </v>
      </c>
      <c r="D184" s="256" t="str">
        <f>VLOOKUP(B184,'PLANILHA ORÇAMENTARIA'!B:J,5,0)</f>
        <v>und</v>
      </c>
      <c r="E184" s="38">
        <v>5</v>
      </c>
      <c r="F184" s="246"/>
      <c r="G184" s="246"/>
      <c r="H184" s="246"/>
      <c r="I184" s="247"/>
      <c r="J184" s="248" t="s">
        <v>524</v>
      </c>
      <c r="K184" s="251">
        <f t="shared" si="35"/>
        <v>5</v>
      </c>
    </row>
    <row r="185" spans="1:11" ht="38.25">
      <c r="B185" s="258" t="s">
        <v>451</v>
      </c>
      <c r="C185" s="255" t="str">
        <f>VLOOKUP(B185,'PLANILHA ORÇAMENTARIA'!B:J,3,0)</f>
        <v>Hidrante de parede, com abrigo em chapa, 60x90x17cm, com suporte e mangueira 20m 63mm, adaptador rosca fêmea e engate rápido, esguicho em latão regulavel, registro globo angular 45º/ 63mm</v>
      </c>
      <c r="D185" s="256" t="str">
        <f>VLOOKUP(B185,'PLANILHA ORÇAMENTARIA'!B:J,5,0)</f>
        <v>und</v>
      </c>
      <c r="E185" s="38">
        <v>4</v>
      </c>
      <c r="F185" s="246"/>
      <c r="G185" s="246"/>
      <c r="H185" s="246"/>
      <c r="I185" s="247"/>
      <c r="J185" s="248" t="s">
        <v>524</v>
      </c>
      <c r="K185" s="251">
        <f t="shared" si="35"/>
        <v>4</v>
      </c>
    </row>
    <row r="186" spans="1:11" ht="25.5">
      <c r="B186" s="258" t="s">
        <v>452</v>
      </c>
      <c r="C186" s="255" t="str">
        <f>VLOOKUP(B186,'PLANILHA ORÇAMENTARIA'!B:J,3,0)</f>
        <v>Placa de sinalização de segurança CODIGO 14 - 315/158(NBR 13.434); CÓDIGO S3(NT 14/2010-ES) ("SAIDA DE EMERGÊNCIA" - seta vertical</v>
      </c>
      <c r="D186" s="256" t="str">
        <f>VLOOKUP(B186,'PLANILHA ORÇAMENTARIA'!B:J,5,0)</f>
        <v>und</v>
      </c>
      <c r="E186" s="38">
        <v>56</v>
      </c>
      <c r="F186" s="246"/>
      <c r="G186" s="246"/>
      <c r="H186" s="246"/>
      <c r="I186" s="247"/>
      <c r="J186" s="248" t="s">
        <v>524</v>
      </c>
      <c r="K186" s="251">
        <f t="shared" si="35"/>
        <v>56</v>
      </c>
    </row>
    <row r="187" spans="1:11" ht="25.5">
      <c r="B187" s="258" t="s">
        <v>453</v>
      </c>
      <c r="C187" s="255" t="str">
        <f>VLOOKUP(B187,'PLANILHA ORÇAMENTARIA'!B:J,3,0)</f>
        <v>Tubo de aço galvanizado com costura ø 65 mm (2.1/2"), conforme NBR5580</v>
      </c>
      <c r="D187" s="256" t="str">
        <f>VLOOKUP(B187,'PLANILHA ORÇAMENTARIA'!B:J,5,0)</f>
        <v>m</v>
      </c>
      <c r="E187" s="38"/>
      <c r="F187" s="246"/>
      <c r="G187" s="38">
        <v>118</v>
      </c>
      <c r="H187" s="246"/>
      <c r="I187" s="247"/>
      <c r="J187" s="248" t="s">
        <v>524</v>
      </c>
      <c r="K187" s="251">
        <f>G187</f>
        <v>118</v>
      </c>
    </row>
    <row r="188" spans="1:11" ht="25.5">
      <c r="B188" s="258" t="s">
        <v>454</v>
      </c>
      <c r="C188" s="255" t="str">
        <f>VLOOKUP(B188,'PLANILHA ORÇAMENTARIA'!B:J,3,0)</f>
        <v xml:space="preserve">Cotovelo 90° de ferro galvanizado ø 65 mm (2.1/2") </v>
      </c>
      <c r="D188" s="256" t="str">
        <f>VLOOKUP(B188,'PLANILHA ORÇAMENTARIA'!B:J,5,0)</f>
        <v>und</v>
      </c>
      <c r="E188" s="38">
        <v>6</v>
      </c>
      <c r="F188" s="246"/>
      <c r="G188" s="246"/>
      <c r="H188" s="246"/>
      <c r="I188" s="247"/>
      <c r="J188" s="248" t="s">
        <v>524</v>
      </c>
      <c r="K188" s="251">
        <f t="shared" si="35"/>
        <v>6</v>
      </c>
    </row>
    <row r="189" spans="1:11" ht="25.5">
      <c r="B189" s="258" t="s">
        <v>455</v>
      </c>
      <c r="C189" s="255" t="str">
        <f>VLOOKUP(B189,'PLANILHA ORÇAMENTARIA'!B:J,3,0)</f>
        <v xml:space="preserve">Tê 90° de ferro galvanizado ø 65 mm (2.1/2") </v>
      </c>
      <c r="D189" s="256" t="str">
        <f>VLOOKUP(B189,'PLANILHA ORÇAMENTARIA'!B:J,5,0)</f>
        <v>und</v>
      </c>
      <c r="E189" s="38">
        <v>4</v>
      </c>
      <c r="F189" s="246"/>
      <c r="G189" s="246"/>
      <c r="H189" s="246"/>
      <c r="I189" s="247"/>
      <c r="J189" s="248" t="s">
        <v>524</v>
      </c>
      <c r="K189" s="251">
        <f t="shared" si="35"/>
        <v>4</v>
      </c>
    </row>
    <row r="190" spans="1:11" ht="25.5">
      <c r="B190" s="258" t="s">
        <v>456</v>
      </c>
      <c r="C190" s="255" t="str">
        <f>VLOOKUP(B190,'PLANILHA ORÇAMENTARIA'!B:J,3,0)</f>
        <v>Registro de gaveta bruto ø 65 mm (2 1/2")</v>
      </c>
      <c r="D190" s="256" t="str">
        <f>VLOOKUP(B190,'PLANILHA ORÇAMENTARIA'!B:J,5,0)</f>
        <v>und</v>
      </c>
      <c r="E190" s="38">
        <v>5</v>
      </c>
      <c r="F190" s="246"/>
      <c r="G190" s="246"/>
      <c r="H190" s="246"/>
      <c r="I190" s="247"/>
      <c r="J190" s="248" t="s">
        <v>524</v>
      </c>
      <c r="K190" s="251">
        <f t="shared" si="35"/>
        <v>5</v>
      </c>
    </row>
    <row r="191" spans="1:11" ht="25.5">
      <c r="B191" s="258" t="s">
        <v>457</v>
      </c>
      <c r="C191" s="255" t="str">
        <f>VLOOKUP(B191,'PLANILHA ORÇAMENTARIA'!B:J,3,0)</f>
        <v>Válvula de retenção vertical, ø 65 mm (2.1/2")</v>
      </c>
      <c r="D191" s="256" t="str">
        <f>VLOOKUP(B191,'PLANILHA ORÇAMENTARIA'!B:J,5,0)</f>
        <v>und</v>
      </c>
      <c r="E191" s="38">
        <v>3</v>
      </c>
      <c r="F191" s="246"/>
      <c r="G191" s="246"/>
      <c r="H191" s="246"/>
      <c r="I191" s="247"/>
      <c r="J191" s="248" t="s">
        <v>524</v>
      </c>
      <c r="K191" s="251">
        <f t="shared" si="35"/>
        <v>3</v>
      </c>
    </row>
    <row r="192" spans="1:11">
      <c r="A192" s="22"/>
      <c r="B192" s="234">
        <v>17</v>
      </c>
      <c r="C192" s="298" t="str">
        <f>VLOOKUP(B192,'PLANILHA ORÇAMENTARIA'!B:J,2,0)</f>
        <v>INSTALAÇÕES ELÉTRICAS - 127-220V</v>
      </c>
      <c r="D192" s="236"/>
      <c r="E192" s="236"/>
      <c r="F192" s="237"/>
      <c r="G192" s="237"/>
      <c r="H192" s="237"/>
      <c r="I192" s="237"/>
      <c r="J192" s="235"/>
      <c r="K192" s="238"/>
    </row>
    <row r="193" spans="1:11">
      <c r="A193" s="22"/>
      <c r="B193" s="234" t="s">
        <v>294</v>
      </c>
      <c r="C193" s="298" t="str">
        <f>VLOOKUP(B193,'PLANILHA ORÇAMENTARIA'!B:J,2,0)</f>
        <v>CENTRO DE DISTRIBUIÇÃO</v>
      </c>
      <c r="D193" s="236"/>
      <c r="E193" s="236"/>
      <c r="F193" s="237"/>
      <c r="G193" s="237"/>
      <c r="H193" s="237"/>
      <c r="I193" s="237"/>
      <c r="J193" s="235"/>
      <c r="K193" s="238"/>
    </row>
    <row r="194" spans="1:11" ht="38.25">
      <c r="B194" s="258" t="s">
        <v>367</v>
      </c>
      <c r="C194" s="255" t="str">
        <f>VLOOKUP(B194,'PLANILHA ORÇAMENTARIA'!B:J,3,0)</f>
        <v>Quadro distrib. energia, embutido ou semi embutido, capac. p/ 56 disj. DIN, c/barram trif. 225A barra. neutroe terra, fab. em chapa de aço 12 USG com porta, espelho, trinco com fechad ch</v>
      </c>
      <c r="D194" s="256" t="str">
        <f>VLOOKUP(B194,'PLANILHA ORÇAMENTARIA'!B:J,5,0)</f>
        <v>und</v>
      </c>
      <c r="E194" s="189">
        <v>1</v>
      </c>
      <c r="F194" s="246"/>
      <c r="G194" s="246"/>
      <c r="H194" s="246"/>
      <c r="I194" s="247"/>
      <c r="J194" s="248" t="s">
        <v>525</v>
      </c>
      <c r="K194" s="251">
        <f t="shared" ref="K194:K196" si="36">E194</f>
        <v>1</v>
      </c>
    </row>
    <row r="195" spans="1:11" ht="25.5">
      <c r="B195" s="258" t="s">
        <v>368</v>
      </c>
      <c r="C195" s="255" t="str">
        <f>VLOOKUP(B195,'PLANILHA ORÇAMENTARIA'!B:J,3,0)</f>
        <v>Quadro de distribuição de energia, de embutir, com 24 divisões modulares, com barramento</v>
      </c>
      <c r="D195" s="256" t="str">
        <f>VLOOKUP(B195,'PLANILHA ORÇAMENTARIA'!B:J,5,0)</f>
        <v>und</v>
      </c>
      <c r="E195" s="189">
        <v>3</v>
      </c>
      <c r="F195" s="246"/>
      <c r="G195" s="246"/>
      <c r="H195" s="246"/>
      <c r="I195" s="247"/>
      <c r="J195" s="248" t="s">
        <v>525</v>
      </c>
      <c r="K195" s="251">
        <f t="shared" si="36"/>
        <v>3</v>
      </c>
    </row>
    <row r="196" spans="1:11" ht="25.5">
      <c r="B196" s="258" t="s">
        <v>369</v>
      </c>
      <c r="C196" s="255" t="str">
        <f>VLOOKUP(B196,'PLANILHA ORÇAMENTARIA'!B:J,3,0)</f>
        <v>Fornecimento e instalaçãode quadro de força para QGBT</v>
      </c>
      <c r="D196" s="256" t="str">
        <f>VLOOKUP(B196,'PLANILHA ORÇAMENTARIA'!B:J,5,0)</f>
        <v>und</v>
      </c>
      <c r="E196" s="189">
        <v>1</v>
      </c>
      <c r="F196" s="246"/>
      <c r="G196" s="246"/>
      <c r="H196" s="246"/>
      <c r="I196" s="247"/>
      <c r="J196" s="248" t="s">
        <v>525</v>
      </c>
      <c r="K196" s="251">
        <f t="shared" si="36"/>
        <v>1</v>
      </c>
    </row>
    <row r="197" spans="1:11" ht="51">
      <c r="B197" s="258" t="s">
        <v>370</v>
      </c>
      <c r="C197" s="255" t="str">
        <f>VLOOKUP(B197,'PLANILHA ORÇAMENTARIA'!B:J,3,0)</f>
        <v>Subestação ext. aérea trifás. 150KVA, completa, c/ quadros de medição, transf. a óleo, chave geral trip., poste e acessórios, conf. NOR-TEC-01 da Escelsa, incl. mureta rev. c/ arg. cimento, cal hidrat. CH1 e areia traço 1:0.5:6</v>
      </c>
      <c r="D197" s="256" t="str">
        <f>VLOOKUP(B197,'PLANILHA ORÇAMENTARIA'!B:J,5,0)</f>
        <v>und</v>
      </c>
      <c r="E197" s="189">
        <v>1</v>
      </c>
      <c r="F197" s="246"/>
      <c r="G197" s="246"/>
      <c r="H197" s="246"/>
      <c r="I197" s="247"/>
      <c r="J197" s="248" t="s">
        <v>525</v>
      </c>
      <c r="K197" s="251">
        <f t="shared" ref="K197" si="37">E197</f>
        <v>1</v>
      </c>
    </row>
    <row r="198" spans="1:11">
      <c r="A198" s="22"/>
      <c r="B198" s="234" t="s">
        <v>372</v>
      </c>
      <c r="C198" s="298" t="str">
        <f>VLOOKUP(B198,'PLANILHA ORÇAMENTARIA'!B:J,2,0)</f>
        <v>DISJUNTORES</v>
      </c>
      <c r="D198" s="236"/>
      <c r="E198" s="236"/>
      <c r="F198" s="237"/>
      <c r="G198" s="237"/>
      <c r="H198" s="237"/>
      <c r="I198" s="237"/>
      <c r="J198" s="235"/>
      <c r="K198" s="238"/>
    </row>
    <row r="199" spans="1:11" ht="25.5">
      <c r="B199" s="258" t="s">
        <v>373</v>
      </c>
      <c r="C199" s="255" t="str">
        <f>VLOOKUP(B199,'PLANILHA ORÇAMENTARIA'!B:J,3,0)</f>
        <v>Mini-Disjuntor monopolar 10 A, curva C - 5KA 220/127VCA (NBR IEC 60947-2), Ref. Siemens, GE, Schneider ou equivalente</v>
      </c>
      <c r="D199" s="256" t="str">
        <f>VLOOKUP(B199,'PLANILHA ORÇAMENTARIA'!B:J,5,0)</f>
        <v>und</v>
      </c>
      <c r="E199" s="189">
        <v>1</v>
      </c>
      <c r="F199" s="246"/>
      <c r="G199" s="246"/>
      <c r="H199" s="246"/>
      <c r="I199" s="247"/>
      <c r="J199" s="248" t="s">
        <v>525</v>
      </c>
      <c r="K199" s="251">
        <f t="shared" ref="K199:K207" si="38">E199</f>
        <v>1</v>
      </c>
    </row>
    <row r="200" spans="1:11" ht="25.5">
      <c r="B200" s="258" t="s">
        <v>374</v>
      </c>
      <c r="C200" s="255" t="str">
        <f>VLOOKUP(B200,'PLANILHA ORÇAMENTARIA'!B:J,3,0)</f>
        <v>Mini-Disjuntor monopolar 20 A, curva C - 5KA 220/127VCA (NBR IEC 60947-2), Ref. Siemens, GE, Schneider ou equivalente</v>
      </c>
      <c r="D200" s="256" t="str">
        <f>VLOOKUP(B200,'PLANILHA ORÇAMENTARIA'!B:J,5,0)</f>
        <v>und</v>
      </c>
      <c r="E200" s="189">
        <v>7</v>
      </c>
      <c r="F200" s="246"/>
      <c r="G200" s="246"/>
      <c r="H200" s="246"/>
      <c r="I200" s="247"/>
      <c r="J200" s="248" t="s">
        <v>525</v>
      </c>
      <c r="K200" s="251">
        <f t="shared" si="38"/>
        <v>7</v>
      </c>
    </row>
    <row r="201" spans="1:11" ht="38.25">
      <c r="B201" s="258" t="s">
        <v>375</v>
      </c>
      <c r="C201" s="255" t="str">
        <f>VLOOKUP(B201,'PLANILHA ORÇAMENTARIA'!B:J,3,0)</f>
        <v>Disjuntor Compacto em caixa moldada tripolar 200 A, 50KA 220/240V / 25KA 380/415V 20KA/440V (NBR IEC 60947-2), Ref. Siemens, GE, Schneider ou equivalente</v>
      </c>
      <c r="D201" s="256" t="str">
        <f>VLOOKUP(B201,'PLANILHA ORÇAMENTARIA'!B:J,5,0)</f>
        <v xml:space="preserve">und </v>
      </c>
      <c r="E201" s="189">
        <v>1</v>
      </c>
      <c r="F201" s="246"/>
      <c r="G201" s="246"/>
      <c r="H201" s="246"/>
      <c r="I201" s="247"/>
      <c r="J201" s="248" t="s">
        <v>525</v>
      </c>
      <c r="K201" s="251">
        <f t="shared" si="38"/>
        <v>1</v>
      </c>
    </row>
    <row r="202" spans="1:11" ht="25.5">
      <c r="B202" s="258" t="s">
        <v>376</v>
      </c>
      <c r="C202" s="255" t="str">
        <f>VLOOKUP(B202,'PLANILHA ORÇAMENTARIA'!B:J,3,0)</f>
        <v>Mini-Disjuntor tripolar 80 A, curva C - 5KA 240VCA (NBR IEC 60947-2), Ref. Siemens, GE, Schneider ou equivalente</v>
      </c>
      <c r="D202" s="256" t="str">
        <f>VLOOKUP(B202,'PLANILHA ORÇAMENTARIA'!B:J,5,0)</f>
        <v xml:space="preserve">und </v>
      </c>
      <c r="E202" s="189">
        <v>3</v>
      </c>
      <c r="F202" s="246"/>
      <c r="G202" s="246"/>
      <c r="H202" s="246"/>
      <c r="I202" s="247"/>
      <c r="J202" s="248" t="s">
        <v>525</v>
      </c>
      <c r="K202" s="251">
        <f t="shared" si="38"/>
        <v>3</v>
      </c>
    </row>
    <row r="203" spans="1:11" ht="38.25">
      <c r="B203" s="258" t="s">
        <v>377</v>
      </c>
      <c r="C203" s="255" t="str">
        <f>VLOOKUP(B203,'PLANILHA ORÇAMENTARIA'!B:J,3,0)</f>
        <v>Mini-Disjuntor bipolar 16 A, curva C - 5KA 220/127VCA (NBR IEC 60947-2), Ref. Siemens, GE, Schneider
ou equivalente</v>
      </c>
      <c r="D203" s="256" t="str">
        <f>VLOOKUP(B203,'PLANILHA ORÇAMENTARIA'!B:J,5,0)</f>
        <v xml:space="preserve">und </v>
      </c>
      <c r="E203" s="189">
        <v>2</v>
      </c>
      <c r="F203" s="246"/>
      <c r="G203" s="246"/>
      <c r="H203" s="246"/>
      <c r="I203" s="247"/>
      <c r="J203" s="248" t="s">
        <v>525</v>
      </c>
      <c r="K203" s="251">
        <f t="shared" si="38"/>
        <v>2</v>
      </c>
    </row>
    <row r="204" spans="1:11" ht="25.5">
      <c r="B204" s="258" t="s">
        <v>378</v>
      </c>
      <c r="C204" s="255" t="str">
        <f>VLOOKUP(B204,'PLANILHA ORÇAMENTARIA'!B:J,3,0)</f>
        <v>Mini-Disjuntor monopolar 16 A, curva C - 5KA 220/127VCA (NBR IEC 60947-2), Ref. Siemens, GE,Schneider ou equivalente</v>
      </c>
      <c r="D204" s="256" t="str">
        <f>VLOOKUP(B204,'PLANILHA ORÇAMENTARIA'!B:J,5,0)</f>
        <v xml:space="preserve">und </v>
      </c>
      <c r="E204" s="189">
        <v>4</v>
      </c>
      <c r="F204" s="246"/>
      <c r="G204" s="246"/>
      <c r="H204" s="246"/>
      <c r="I204" s="247"/>
      <c r="J204" s="248" t="s">
        <v>525</v>
      </c>
      <c r="K204" s="251">
        <f t="shared" si="38"/>
        <v>4</v>
      </c>
    </row>
    <row r="205" spans="1:11" ht="38.25">
      <c r="B205" s="258" t="s">
        <v>379</v>
      </c>
      <c r="C205" s="255" t="str">
        <f>VLOOKUP(B205,'PLANILHA ORÇAMENTARIA'!B:J,3,0)</f>
        <v>Mini-Disjuntor monopolar 25 A, curva C - 5KA 220/127VCA (NBR IEC 60947-2), Ref. Siemens, GE,
Schneider ou equivalente</v>
      </c>
      <c r="D205" s="256" t="str">
        <f>VLOOKUP(B205,'PLANILHA ORÇAMENTARIA'!B:J,5,0)</f>
        <v xml:space="preserve">und </v>
      </c>
      <c r="E205" s="189">
        <v>2</v>
      </c>
      <c r="F205" s="246"/>
      <c r="G205" s="246"/>
      <c r="H205" s="246"/>
      <c r="I205" s="247"/>
      <c r="J205" s="248" t="s">
        <v>525</v>
      </c>
      <c r="K205" s="251">
        <f t="shared" si="38"/>
        <v>2</v>
      </c>
    </row>
    <row r="206" spans="1:11" ht="25.5">
      <c r="B206" s="258" t="s">
        <v>380</v>
      </c>
      <c r="C206" s="255" t="str">
        <f>VLOOKUP(B206,'PLANILHA ORÇAMENTARIA'!B:J,3,0)</f>
        <v>Mini-Disjuntor bipolar 32 A, curva C - 5KA 220/127VCA (NBR IEC 60947-2), Ref. Siemens, GE, Schneider ou equivalente</v>
      </c>
      <c r="D206" s="256" t="str">
        <f>VLOOKUP(B206,'PLANILHA ORÇAMENTARIA'!B:J,5,0)</f>
        <v>und</v>
      </c>
      <c r="E206" s="189">
        <v>23</v>
      </c>
      <c r="F206" s="246"/>
      <c r="G206" s="246"/>
      <c r="H206" s="246"/>
      <c r="I206" s="247"/>
      <c r="J206" s="248" t="s">
        <v>525</v>
      </c>
      <c r="K206" s="251">
        <f t="shared" si="38"/>
        <v>23</v>
      </c>
    </row>
    <row r="207" spans="1:11" ht="25.5">
      <c r="B207" s="258" t="s">
        <v>381</v>
      </c>
      <c r="C207" s="255" t="str">
        <f>VLOOKUP(B207,'PLANILHA ORÇAMENTARIA'!B:J,3,0)</f>
        <v>Dispositivo de proteção contra surto (DPS) bipolar, tensão nominal máxima 275VCA, corente de surto máxima 40KA.</v>
      </c>
      <c r="D207" s="256" t="str">
        <f>VLOOKUP(B207,'PLANILHA ORÇAMENTARIA'!B:J,5,0)</f>
        <v xml:space="preserve"> und </v>
      </c>
      <c r="E207" s="189">
        <v>6</v>
      </c>
      <c r="F207" s="246"/>
      <c r="G207" s="246"/>
      <c r="H207" s="246"/>
      <c r="I207" s="247"/>
      <c r="J207" s="248" t="s">
        <v>525</v>
      </c>
      <c r="K207" s="251">
        <f t="shared" si="38"/>
        <v>6</v>
      </c>
    </row>
    <row r="208" spans="1:11">
      <c r="A208" s="22"/>
      <c r="B208" s="234" t="s">
        <v>388</v>
      </c>
      <c r="C208" s="298" t="str">
        <f>VLOOKUP(B208,'PLANILHA ORÇAMENTARIA'!B:J,2,0)</f>
        <v>ELETRODUTOS E ACESSÓRIOS</v>
      </c>
      <c r="D208" s="236"/>
      <c r="E208" s="236"/>
      <c r="F208" s="237"/>
      <c r="G208" s="237"/>
      <c r="H208" s="237"/>
      <c r="I208" s="237"/>
      <c r="J208" s="235"/>
      <c r="K208" s="238"/>
    </row>
    <row r="209" spans="1:11" ht="25.5">
      <c r="B209" s="258" t="s">
        <v>389</v>
      </c>
      <c r="C209" s="255" t="str">
        <f>VLOOKUP(B209,'PLANILHA ORÇAMENTARIA'!B:J,3,0)</f>
        <v>Eletroduto flexível corrugado 3/4" , marca de referência TIGRE</v>
      </c>
      <c r="D209" s="256" t="str">
        <f>VLOOKUP(B209,'PLANILHA ORÇAMENTARIA'!B:J,5,0)</f>
        <v>m</v>
      </c>
      <c r="E209" s="189"/>
      <c r="F209" s="246"/>
      <c r="G209" s="189">
        <v>1400</v>
      </c>
      <c r="H209" s="246"/>
      <c r="I209" s="247"/>
      <c r="J209" s="248" t="s">
        <v>525</v>
      </c>
      <c r="K209" s="251">
        <f>G209</f>
        <v>1400</v>
      </c>
    </row>
    <row r="210" spans="1:11" ht="25.5">
      <c r="B210" s="258" t="s">
        <v>390</v>
      </c>
      <c r="C210" s="255" t="str">
        <f>VLOOKUP(B210,'PLANILHA ORÇAMENTARIA'!B:J,3,0)</f>
        <v>Eletroduto flexível corrugado 1" , marca de referência TIGRE</v>
      </c>
      <c r="D210" s="256" t="str">
        <f>VLOOKUP(B210,'PLANILHA ORÇAMENTARIA'!B:J,5,0)</f>
        <v>m</v>
      </c>
      <c r="E210" s="189"/>
      <c r="F210" s="246"/>
      <c r="G210" s="189">
        <v>500</v>
      </c>
      <c r="H210" s="246"/>
      <c r="I210" s="247"/>
      <c r="J210" s="248" t="s">
        <v>525</v>
      </c>
      <c r="K210" s="251">
        <f t="shared" ref="K210:K211" si="39">G210</f>
        <v>500</v>
      </c>
    </row>
    <row r="211" spans="1:11" ht="25.5">
      <c r="B211" s="258" t="s">
        <v>391</v>
      </c>
      <c r="C211" s="255" t="str">
        <f>VLOOKUP(B211,'PLANILHA ORÇAMENTARIA'!B:J,3,0)</f>
        <v xml:space="preserve">Eletroduto PEAD, cor preta, diam. 2", marca ref. Kanaflex ou equivalente </v>
      </c>
      <c r="D211" s="256" t="str">
        <f>VLOOKUP(B211,'PLANILHA ORÇAMENTARIA'!B:J,5,0)</f>
        <v xml:space="preserve"> m</v>
      </c>
      <c r="E211" s="189"/>
      <c r="F211" s="246"/>
      <c r="G211" s="189">
        <v>450</v>
      </c>
      <c r="H211" s="246"/>
      <c r="I211" s="247"/>
      <c r="J211" s="248" t="s">
        <v>525</v>
      </c>
      <c r="K211" s="251">
        <f t="shared" si="39"/>
        <v>450</v>
      </c>
    </row>
    <row r="212" spans="1:11" ht="25.5">
      <c r="B212" s="258" t="s">
        <v>392</v>
      </c>
      <c r="C212" s="255" t="str">
        <f>VLOOKUP(B212,'PLANILHA ORÇAMENTARIA'!B:J,3,0)</f>
        <v>Eletrocalha perfurada em chapa de aço galvanizado nº16, 200x100mm, sem tampa</v>
      </c>
      <c r="D212" s="256" t="str">
        <f>VLOOKUP(B212,'PLANILHA ORÇAMENTARIA'!B:J,5,0)</f>
        <v>und</v>
      </c>
      <c r="E212" s="189">
        <v>120</v>
      </c>
      <c r="F212" s="246"/>
      <c r="G212" s="246"/>
      <c r="H212" s="246"/>
      <c r="I212" s="247"/>
      <c r="J212" s="248" t="s">
        <v>525</v>
      </c>
      <c r="K212" s="251">
        <f t="shared" ref="K212:K220" si="40">E212</f>
        <v>120</v>
      </c>
    </row>
    <row r="213" spans="1:11" ht="63.75">
      <c r="B213" s="258" t="s">
        <v>393</v>
      </c>
      <c r="C213" s="255" t="str">
        <f>VLOOKUP(B213,'PLANILHA ORÇAMENTARIA'!B:J,3,0)</f>
        <v>Suporte de fixação de eletrocalha de 200x100mm, no teto, através de gancho vertical (1 und), porca sextavada e arruela 1/4" (4 und), vergalhão rosca total 1/4" (h=60cm), cantoneira ZZ (1 und) e parafuso e
bucha S8 (2 und)</v>
      </c>
      <c r="D213" s="256" t="str">
        <f>VLOOKUP(B213,'PLANILHA ORÇAMENTARIA'!B:J,5,0)</f>
        <v>und</v>
      </c>
      <c r="E213" s="189">
        <v>60</v>
      </c>
      <c r="F213" s="246"/>
      <c r="G213" s="246"/>
      <c r="H213" s="246"/>
      <c r="I213" s="247"/>
      <c r="J213" s="248" t="s">
        <v>525</v>
      </c>
      <c r="K213" s="251">
        <f t="shared" si="40"/>
        <v>60</v>
      </c>
    </row>
    <row r="214" spans="1:11" ht="25.5">
      <c r="B214" s="258" t="s">
        <v>394</v>
      </c>
      <c r="C214" s="255" t="str">
        <f>VLOOKUP(B214,'PLANILHA ORÇAMENTARIA'!B:J,3,0)</f>
        <v>Junção simples para eletrocalha metálica 200x100mm, galvanizada, ref. Mega MG 2760 ou equivalente</v>
      </c>
      <c r="D214" s="256" t="str">
        <f>VLOOKUP(B214,'PLANILHA ORÇAMENTARIA'!B:J,5,0)</f>
        <v>und</v>
      </c>
      <c r="E214" s="189">
        <v>64</v>
      </c>
      <c r="F214" s="246"/>
      <c r="G214" s="246"/>
      <c r="H214" s="246"/>
      <c r="I214" s="247"/>
      <c r="J214" s="248" t="s">
        <v>525</v>
      </c>
      <c r="K214" s="251">
        <f t="shared" si="40"/>
        <v>64</v>
      </c>
    </row>
    <row r="215" spans="1:11" ht="25.5">
      <c r="B215" s="258" t="s">
        <v>395</v>
      </c>
      <c r="C215" s="255" t="str">
        <f>VLOOKUP(B215,'PLANILHA ORÇAMENTARIA'!B:J,3,0)</f>
        <v>TÊ horizontal 90º para eletrocalha metálica 200x100mm, galvanizada, ref. MEGA MG 2570 ou equivalente</v>
      </c>
      <c r="D215" s="256" t="str">
        <f>VLOOKUP(B215,'PLANILHA ORÇAMENTARIA'!B:J,5,0)</f>
        <v>und</v>
      </c>
      <c r="E215" s="189">
        <v>2</v>
      </c>
      <c r="F215" s="246"/>
      <c r="G215" s="189"/>
      <c r="H215" s="246"/>
      <c r="I215" s="247"/>
      <c r="J215" s="248" t="s">
        <v>525</v>
      </c>
      <c r="K215" s="251">
        <f t="shared" si="40"/>
        <v>2</v>
      </c>
    </row>
    <row r="216" spans="1:11" ht="25.5">
      <c r="B216" s="258" t="s">
        <v>609</v>
      </c>
      <c r="C216" s="255" t="str">
        <f>VLOOKUP(B216,'PLANILHA ORÇAMENTARIA'!B:J,3,0)</f>
        <v>Curva horizontal 90º para eletrocalha metálica, 200x100mm, galvanizada, ref. MEGA MG 2510</v>
      </c>
      <c r="D216" s="256" t="str">
        <f>VLOOKUP(B216,'PLANILHA ORÇAMENTARIA'!B:J,5,0)</f>
        <v>und</v>
      </c>
      <c r="E216" s="189">
        <v>4</v>
      </c>
      <c r="F216" s="246"/>
      <c r="G216" s="189"/>
      <c r="H216" s="246"/>
      <c r="I216" s="247"/>
      <c r="J216" s="248" t="s">
        <v>525</v>
      </c>
      <c r="K216" s="251">
        <f t="shared" si="40"/>
        <v>4</v>
      </c>
    </row>
    <row r="217" spans="1:11" ht="25.5">
      <c r="B217" s="258" t="s">
        <v>610</v>
      </c>
      <c r="C217" s="255" t="str">
        <f>VLOOKUP(B217,'PLANILHA ORÇAMENTARIA'!B:J,3,0)</f>
        <v xml:space="preserve">Caixa de embutir marca de referência Tigreflex, 4x2" </v>
      </c>
      <c r="D217" s="256" t="str">
        <f>VLOOKUP(B217,'PLANILHA ORÇAMENTARIA'!B:J,5,0)</f>
        <v>und</v>
      </c>
      <c r="E217" s="189">
        <v>220</v>
      </c>
      <c r="F217" s="246"/>
      <c r="G217" s="189"/>
      <c r="H217" s="246"/>
      <c r="I217" s="247"/>
      <c r="J217" s="248" t="s">
        <v>525</v>
      </c>
      <c r="K217" s="251">
        <f t="shared" si="40"/>
        <v>220</v>
      </c>
    </row>
    <row r="218" spans="1:11" ht="25.5">
      <c r="B218" s="258" t="s">
        <v>611</v>
      </c>
      <c r="C218" s="255" t="str">
        <f>VLOOKUP(B218,'PLANILHA ORÇAMENTARIA'!B:J,3,0)</f>
        <v xml:space="preserve">Caixa de embutir marca de referência Tigreflex, 4x4" </v>
      </c>
      <c r="D218" s="256" t="str">
        <f>VLOOKUP(B218,'PLANILHA ORÇAMENTARIA'!B:J,5,0)</f>
        <v>und</v>
      </c>
      <c r="E218" s="189">
        <v>40</v>
      </c>
      <c r="F218" s="246"/>
      <c r="G218" s="246"/>
      <c r="H218" s="246"/>
      <c r="I218" s="247"/>
      <c r="J218" s="248" t="s">
        <v>525</v>
      </c>
      <c r="K218" s="251">
        <f t="shared" si="40"/>
        <v>40</v>
      </c>
    </row>
    <row r="219" spans="1:11" ht="38.25">
      <c r="B219" s="258" t="s">
        <v>612</v>
      </c>
      <c r="C219" s="255" t="str">
        <f>VLOOKUP(B219,'PLANILHA ORÇAMENTARIA'!B:J,3,0)</f>
        <v>Caixa de passagem de alvenaria de blocos de concreto 9x19x39cm, dimensões de 40x40x50cm, com revestimento interno em chapisco e reboco, tampa de concreto esp.5cm e lastro de brita 5 cm</v>
      </c>
      <c r="D219" s="256" t="str">
        <f>VLOOKUP(B219,'PLANILHA ORÇAMENTARIA'!B:J,5,0)</f>
        <v>und</v>
      </c>
      <c r="E219" s="189">
        <v>12</v>
      </c>
      <c r="F219" s="246"/>
      <c r="G219" s="246"/>
      <c r="H219" s="246"/>
      <c r="I219" s="247"/>
      <c r="J219" s="248" t="s">
        <v>525</v>
      </c>
      <c r="K219" s="251">
        <f t="shared" si="40"/>
        <v>12</v>
      </c>
    </row>
    <row r="220" spans="1:11" ht="25.5">
      <c r="B220" s="258" t="s">
        <v>613</v>
      </c>
      <c r="C220" s="255" t="str">
        <f>VLOOKUP(B220,'PLANILHA ORÇAMENTARIA'!B:J,3,0)</f>
        <v xml:space="preserve">Caixa sextavada em PVC de 3x3x1 1/2", marca de referência Tigreflex </v>
      </c>
      <c r="D220" s="256" t="str">
        <f>VLOOKUP(B220,'PLANILHA ORÇAMENTARIA'!B:J,5,0)</f>
        <v>und</v>
      </c>
      <c r="E220" s="189">
        <v>261</v>
      </c>
      <c r="F220" s="246"/>
      <c r="G220" s="246"/>
      <c r="H220" s="246"/>
      <c r="I220" s="247"/>
      <c r="J220" s="248" t="s">
        <v>525</v>
      </c>
      <c r="K220" s="251">
        <f t="shared" si="40"/>
        <v>261</v>
      </c>
    </row>
    <row r="221" spans="1:11">
      <c r="A221" s="22"/>
      <c r="B221" s="234" t="s">
        <v>398</v>
      </c>
      <c r="C221" s="298" t="str">
        <f>VLOOKUP(B221,'PLANILHA ORÇAMENTARIA'!B:J,2,0)</f>
        <v>CABOS E FIOS (CONDUTORES)</v>
      </c>
      <c r="D221" s="236"/>
      <c r="E221" s="236"/>
      <c r="F221" s="237"/>
      <c r="G221" s="237"/>
      <c r="H221" s="237"/>
      <c r="I221" s="237"/>
      <c r="J221" s="235"/>
      <c r="K221" s="238"/>
    </row>
    <row r="222" spans="1:11" ht="25.5">
      <c r="B222" s="258" t="s">
        <v>399</v>
      </c>
      <c r="C222" s="255" t="str">
        <f>VLOOKUP(B222,'PLANILHA ORÇAMENTARIA'!B:J,3,0)</f>
        <v xml:space="preserve">Fio de cobre termoplástico, com isolamento para 750V, seção de 1.5 mm2 </v>
      </c>
      <c r="D222" s="256" t="str">
        <f>VLOOKUP(B222,'PLANILHA ORÇAMENTARIA'!B:J,5,0)</f>
        <v xml:space="preserve"> m </v>
      </c>
      <c r="E222" s="189"/>
      <c r="F222" s="244"/>
      <c r="G222" s="189">
        <v>1100</v>
      </c>
      <c r="H222" s="246"/>
      <c r="I222" s="247"/>
      <c r="J222" s="248" t="s">
        <v>620</v>
      </c>
      <c r="K222" s="251">
        <f t="shared" ref="K222:K229" si="41">G222</f>
        <v>1100</v>
      </c>
    </row>
    <row r="223" spans="1:11" ht="25.5">
      <c r="B223" s="258" t="s">
        <v>400</v>
      </c>
      <c r="C223" s="255" t="str">
        <f>VLOOKUP(B223,'PLANILHA ORÇAMENTARIA'!B:J,3,0)</f>
        <v xml:space="preserve">Fio de cobre termoplástico, com isolamento para 750V, seção de 2.5 mm2 </v>
      </c>
      <c r="D223" s="256" t="str">
        <f>VLOOKUP(B223,'PLANILHA ORÇAMENTARIA'!B:J,5,0)</f>
        <v>m</v>
      </c>
      <c r="E223" s="189"/>
      <c r="F223" s="246"/>
      <c r="G223" s="189">
        <v>3600</v>
      </c>
      <c r="H223" s="246"/>
      <c r="I223" s="247"/>
      <c r="J223" s="248" t="s">
        <v>620</v>
      </c>
      <c r="K223" s="251">
        <f t="shared" si="41"/>
        <v>3600</v>
      </c>
    </row>
    <row r="224" spans="1:11" ht="25.5">
      <c r="B224" s="258" t="s">
        <v>401</v>
      </c>
      <c r="C224" s="255" t="str">
        <f>VLOOKUP(B224,'PLANILHA ORÇAMENTARIA'!B:J,3,0)</f>
        <v xml:space="preserve">Fio ou cabo de cobre termoplástico, com isolamento para 750V, seção de 4.0 mm2 </v>
      </c>
      <c r="D224" s="256" t="str">
        <f>VLOOKUP(B224,'PLANILHA ORÇAMENTARIA'!B:J,5,0)</f>
        <v>m</v>
      </c>
      <c r="E224" s="189"/>
      <c r="F224" s="246"/>
      <c r="G224" s="189">
        <v>1900</v>
      </c>
      <c r="H224" s="246"/>
      <c r="I224" s="247"/>
      <c r="J224" s="248" t="s">
        <v>620</v>
      </c>
      <c r="K224" s="251">
        <f t="shared" si="41"/>
        <v>1900</v>
      </c>
    </row>
    <row r="225" spans="1:11" ht="25.5">
      <c r="B225" s="258" t="s">
        <v>402</v>
      </c>
      <c r="C225" s="255" t="str">
        <f>VLOOKUP(B225,'PLANILHA ORÇAMENTARIA'!B:J,3,0)</f>
        <v>Fio ou cabo de cobre termoplástico, com isolamento para 750V, seção de 16.0 mm2</v>
      </c>
      <c r="D225" s="256" t="str">
        <f>VLOOKUP(B225,'PLANILHA ORÇAMENTARIA'!B:J,5,0)</f>
        <v>m</v>
      </c>
      <c r="E225" s="189"/>
      <c r="F225" s="246"/>
      <c r="G225" s="189">
        <v>150</v>
      </c>
      <c r="H225" s="246"/>
      <c r="I225" s="247"/>
      <c r="J225" s="248" t="s">
        <v>620</v>
      </c>
      <c r="K225" s="251">
        <f t="shared" si="41"/>
        <v>150</v>
      </c>
    </row>
    <row r="226" spans="1:11" ht="25.5">
      <c r="B226" s="258" t="s">
        <v>403</v>
      </c>
      <c r="C226" s="255" t="str">
        <f>VLOOKUP(B226,'PLANILHA ORÇAMENTARIA'!B:J,3,0)</f>
        <v>Cabo de cobre termoplástico, com isolamento para 1000V, seção de 25.0 mm2</v>
      </c>
      <c r="D226" s="256" t="str">
        <f>VLOOKUP(B226,'PLANILHA ORÇAMENTARIA'!B:J,5,0)</f>
        <v>m</v>
      </c>
      <c r="E226" s="189"/>
      <c r="F226" s="246"/>
      <c r="G226" s="189">
        <v>840</v>
      </c>
      <c r="H226" s="246"/>
      <c r="I226" s="247"/>
      <c r="J226" s="248" t="s">
        <v>620</v>
      </c>
      <c r="K226" s="251">
        <f t="shared" si="41"/>
        <v>840</v>
      </c>
    </row>
    <row r="227" spans="1:11" ht="25.5">
      <c r="B227" s="258" t="s">
        <v>404</v>
      </c>
      <c r="C227" s="255" t="str">
        <f>VLOOKUP(B227,'PLANILHA ORÇAMENTARIA'!B:J,3,0)</f>
        <v>Cabo de cobre termoplástico, com isolamento para 1000V, seção de 50 mm2</v>
      </c>
      <c r="D227" s="256" t="str">
        <f>VLOOKUP(B227,'PLANILHA ORÇAMENTARIA'!B:J,5,0)</f>
        <v>m</v>
      </c>
      <c r="E227" s="189"/>
      <c r="F227" s="246"/>
      <c r="G227" s="189">
        <v>100</v>
      </c>
      <c r="H227" s="246"/>
      <c r="I227" s="247"/>
      <c r="J227" s="248" t="s">
        <v>620</v>
      </c>
      <c r="K227" s="251">
        <f t="shared" si="41"/>
        <v>100</v>
      </c>
    </row>
    <row r="228" spans="1:11" ht="25.5">
      <c r="B228" s="258" t="s">
        <v>405</v>
      </c>
      <c r="C228" s="255" t="str">
        <f>VLOOKUP(B228,'PLANILHA ORÇAMENTARIA'!B:J,3,0)</f>
        <v>Cabo de cobre termoplástico, com isolamento para 1000V, seção de 95.0 mm2</v>
      </c>
      <c r="D228" s="256" t="str">
        <f>VLOOKUP(B228,'PLANILHA ORÇAMENTARIA'!B:J,5,0)</f>
        <v xml:space="preserve"> m</v>
      </c>
      <c r="E228" s="189"/>
      <c r="F228" s="246"/>
      <c r="G228" s="189">
        <v>430</v>
      </c>
      <c r="H228" s="246"/>
      <c r="I228" s="247"/>
      <c r="J228" s="248" t="s">
        <v>620</v>
      </c>
      <c r="K228" s="251">
        <f t="shared" si="41"/>
        <v>430</v>
      </c>
    </row>
    <row r="229" spans="1:11" ht="25.5">
      <c r="B229" s="258" t="s">
        <v>406</v>
      </c>
      <c r="C229" s="255" t="str">
        <f>VLOOKUP(B229,'PLANILHA ORÇAMENTARIA'!B:J,3,0)</f>
        <v>Cabo de cobre termoplástico, com isolamento para 1000V, seção de 185,0mm2</v>
      </c>
      <c r="D229" s="256" t="str">
        <f>VLOOKUP(B229,'PLANILHA ORÇAMENTARIA'!B:J,5,0)</f>
        <v xml:space="preserve"> m</v>
      </c>
      <c r="E229" s="189"/>
      <c r="F229" s="246"/>
      <c r="G229" s="189">
        <v>60</v>
      </c>
      <c r="H229" s="246"/>
      <c r="I229" s="247"/>
      <c r="J229" s="248" t="s">
        <v>620</v>
      </c>
      <c r="K229" s="251">
        <f t="shared" si="41"/>
        <v>60</v>
      </c>
    </row>
    <row r="230" spans="1:11">
      <c r="A230" s="22"/>
      <c r="B230" s="234" t="s">
        <v>413</v>
      </c>
      <c r="C230" s="298" t="str">
        <f>VLOOKUP(B230,'PLANILHA ORÇAMENTARIA'!B:J,2,0)</f>
        <v>TOMADAS E INTERRUPTORES</v>
      </c>
      <c r="D230" s="236"/>
      <c r="E230" s="236"/>
      <c r="F230" s="237"/>
      <c r="G230" s="237"/>
      <c r="H230" s="237"/>
      <c r="I230" s="237"/>
      <c r="J230" s="235"/>
      <c r="K230" s="238"/>
    </row>
    <row r="231" spans="1:11">
      <c r="B231" s="258" t="s">
        <v>412</v>
      </c>
      <c r="C231" s="255" t="str">
        <f>VLOOKUP(B231,'PLANILHA ORÇAMENTARIA'!B:J,3,0)</f>
        <v>Interruptor de uma tecla simples 10A/250V, com placa 4x2"</v>
      </c>
      <c r="D231" s="256" t="str">
        <f>VLOOKUP(B231,'PLANILHA ORÇAMENTARIA'!B:J,5,0)</f>
        <v>und</v>
      </c>
      <c r="E231" s="189">
        <v>40</v>
      </c>
      <c r="F231" s="246"/>
      <c r="G231" s="246"/>
      <c r="H231" s="246"/>
      <c r="I231" s="247"/>
      <c r="J231" s="248" t="s">
        <v>620</v>
      </c>
      <c r="K231" s="251">
        <f t="shared" ref="K231" si="42">E231</f>
        <v>40</v>
      </c>
    </row>
    <row r="232" spans="1:11" ht="25.5">
      <c r="B232" s="258" t="s">
        <v>420</v>
      </c>
      <c r="C232" s="255" t="str">
        <f>VLOOKUP(B232,'PLANILHA ORÇAMENTARIA'!B:J,3,0)</f>
        <v xml:space="preserve">Tomada padrão brasileiro linha branca, NBR 14136 2 polos + terra 10A/250V, com placa 4x2" </v>
      </c>
      <c r="D232" s="256" t="str">
        <f>VLOOKUP(B232,'PLANILHA ORÇAMENTARIA'!B:J,5,0)</f>
        <v>und</v>
      </c>
      <c r="E232" s="189">
        <v>175</v>
      </c>
      <c r="F232" s="246"/>
      <c r="G232" s="246"/>
      <c r="H232" s="246"/>
      <c r="I232" s="247"/>
      <c r="J232" s="248" t="s">
        <v>620</v>
      </c>
      <c r="K232" s="251">
        <f t="shared" ref="K232" si="43">E232</f>
        <v>175</v>
      </c>
    </row>
    <row r="233" spans="1:11">
      <c r="A233" s="22"/>
      <c r="B233" s="234" t="s">
        <v>526</v>
      </c>
      <c r="C233" s="298" t="str">
        <f>VLOOKUP(B233,'PLANILHA ORÇAMENTARIA'!B:J,2,0)</f>
        <v>ILUMINAÇÃO</v>
      </c>
      <c r="D233" s="236"/>
      <c r="E233" s="236"/>
      <c r="F233" s="237"/>
      <c r="G233" s="237"/>
      <c r="H233" s="237"/>
      <c r="I233" s="237"/>
      <c r="J233" s="235"/>
      <c r="K233" s="238"/>
    </row>
    <row r="234" spans="1:11" ht="51">
      <c r="B234" s="258" t="s">
        <v>414</v>
      </c>
      <c r="C234" s="255" t="str">
        <f>VLOOKUP(B234,'PLANILHA ORÇAMENTARIA'!B:J,3,0)</f>
        <v>Luminaria sobrepor compl., corpo ch. aço pintada branca, refletor aletas parabólicas alum.alta pureza e refletância inclusive 2 lâmpadas LED T8 20W temp. de cor 5000k bivolt c/ 1,20m - Ref. CS232AL-N - AMES, 664 - LUMAVI OU EQUIVALENTE</v>
      </c>
      <c r="D234" s="256" t="str">
        <f>VLOOKUP(B234,'PLANILHA ORÇAMENTARIA'!B:J,5,0)</f>
        <v>und</v>
      </c>
      <c r="E234" s="189">
        <v>250</v>
      </c>
      <c r="F234" s="246"/>
      <c r="G234" s="246"/>
      <c r="H234" s="246"/>
      <c r="I234" s="247"/>
      <c r="J234" s="248" t="s">
        <v>620</v>
      </c>
      <c r="K234" s="251">
        <f t="shared" ref="K234:K241" si="44">E234</f>
        <v>250</v>
      </c>
    </row>
    <row r="235" spans="1:11" ht="51">
      <c r="B235" s="258" t="s">
        <v>416</v>
      </c>
      <c r="C235" s="255" t="str">
        <f>VLOOKUP(B235,'PLANILHA ORÇAMENTARIA'!B:J,3,0)</f>
        <v>Luminaria sobrepor compl., corpo ch. aço pintada branca, refletor, aletas parabólicas alum.alta pureza e refletância inclusive 2 lâmpadas LED T8 9W temp. de cor 5000k c/ 60cm - Ref. CS216AL-N - AMES, 663 - LUMAVI OU EQUIVALENTE</v>
      </c>
      <c r="D235" s="256" t="str">
        <f>VLOOKUP(B235,'PLANILHA ORÇAMENTARIA'!B:J,5,0)</f>
        <v>und</v>
      </c>
      <c r="E235" s="189">
        <v>8</v>
      </c>
      <c r="F235" s="246"/>
      <c r="G235" s="246"/>
      <c r="H235" s="246"/>
      <c r="I235" s="247"/>
      <c r="J235" s="248" t="s">
        <v>620</v>
      </c>
      <c r="K235" s="251">
        <f t="shared" si="44"/>
        <v>8</v>
      </c>
    </row>
    <row r="236" spans="1:11">
      <c r="B236" s="258" t="s">
        <v>417</v>
      </c>
      <c r="C236" s="255" t="str">
        <f>VLOOKUP(B236,'PLANILHA ORÇAMENTARIA'!B:J,3,0)</f>
        <v>Holofote Refletor de Led Linear 400W IP68 Branco Bivolt Duplo</v>
      </c>
      <c r="D236" s="256" t="str">
        <f>VLOOKUP(B236,'PLANILHA ORÇAMENTARIA'!B:J,5,0)</f>
        <v>und</v>
      </c>
      <c r="E236" s="189">
        <v>10</v>
      </c>
      <c r="F236" s="246"/>
      <c r="G236" s="246"/>
      <c r="H236" s="246"/>
      <c r="I236" s="247"/>
      <c r="J236" s="248" t="s">
        <v>620</v>
      </c>
      <c r="K236" s="251">
        <f t="shared" si="44"/>
        <v>10</v>
      </c>
    </row>
    <row r="237" spans="1:11">
      <c r="B237" s="258" t="s">
        <v>418</v>
      </c>
      <c r="C237" s="255" t="str">
        <f>VLOOKUP(B237,'PLANILHA ORÇAMENTARIA'!B:J,3,0)</f>
        <v>Refletor Led 200W Branco Frio Bivolt Prova Dágua Ip67</v>
      </c>
      <c r="D237" s="256" t="str">
        <f>VLOOKUP(B237,'PLANILHA ORÇAMENTARIA'!B:J,5,0)</f>
        <v xml:space="preserve">und </v>
      </c>
      <c r="E237" s="189">
        <v>40</v>
      </c>
      <c r="F237" s="246"/>
      <c r="G237" s="246"/>
      <c r="H237" s="246"/>
      <c r="I237" s="247"/>
      <c r="J237" s="248" t="s">
        <v>620</v>
      </c>
      <c r="K237" s="251">
        <f t="shared" si="44"/>
        <v>40</v>
      </c>
    </row>
    <row r="238" spans="1:11" ht="25.5">
      <c r="B238" s="258" t="s">
        <v>419</v>
      </c>
      <c r="C238" s="255" t="str">
        <f>VLOOKUP(B238,'PLANILHA ORÇAMENTARIA'!B:J,3,0)</f>
        <v>POSTE DECORATIVO PARA JARDIM EM AÇO TUBULAR, H = *2,5* M, SEM LUMINÁRIA - FORNECIMENTO E INSTALAÇÃO. AF_11/2019</v>
      </c>
      <c r="D238" s="256" t="str">
        <f>VLOOKUP(B238,'PLANILHA ORÇAMENTARIA'!B:J,5,0)</f>
        <v xml:space="preserve">und </v>
      </c>
      <c r="E238" s="189">
        <v>40</v>
      </c>
      <c r="F238" s="246"/>
      <c r="G238" s="246"/>
      <c r="H238" s="246"/>
      <c r="I238" s="247"/>
      <c r="J238" s="248" t="s">
        <v>620</v>
      </c>
      <c r="K238" s="251">
        <f t="shared" si="44"/>
        <v>40</v>
      </c>
    </row>
    <row r="239" spans="1:11" ht="25.5">
      <c r="B239" s="258" t="s">
        <v>423</v>
      </c>
      <c r="C239" s="255" t="str">
        <f>VLOOKUP(B239,'PLANILHA ORÇAMENTARIA'!B:J,3,0)</f>
        <v>SENSOR DE PRESENÇA SEM FOTOCÉLULA, FIXAÇÃO EM PAREDE - FORNECIMENTO E INSTALAÇÃO. AF_02/2020</v>
      </c>
      <c r="D239" s="256" t="str">
        <f>VLOOKUP(B239,'PLANILHA ORÇAMENTARIA'!B:J,5,0)</f>
        <v>und</v>
      </c>
      <c r="E239" s="189">
        <v>4</v>
      </c>
      <c r="F239" s="246"/>
      <c r="G239" s="246"/>
      <c r="H239" s="246"/>
      <c r="I239" s="247"/>
      <c r="J239" s="248" t="s">
        <v>620</v>
      </c>
      <c r="K239" s="251">
        <f t="shared" si="44"/>
        <v>4</v>
      </c>
    </row>
    <row r="240" spans="1:11">
      <c r="B240" s="258" t="s">
        <v>424</v>
      </c>
      <c r="C240" s="255" t="str">
        <f>VLOOKUP(B240,'PLANILHA ORÇAMENTARIA'!B:J,3,0)</f>
        <v>Fornecimento e instalação de CONTATOR no Quadro 02</v>
      </c>
      <c r="D240" s="256" t="str">
        <f>VLOOKUP(B240,'PLANILHA ORÇAMENTARIA'!B:J,5,0)</f>
        <v>und</v>
      </c>
      <c r="E240" s="189">
        <v>2</v>
      </c>
      <c r="F240" s="246"/>
      <c r="G240" s="246"/>
      <c r="H240" s="246"/>
      <c r="I240" s="247"/>
      <c r="J240" s="248" t="s">
        <v>620</v>
      </c>
      <c r="K240" s="251">
        <f t="shared" si="44"/>
        <v>2</v>
      </c>
    </row>
    <row r="241" spans="1:11" ht="25.5">
      <c r="B241" s="258" t="s">
        <v>425</v>
      </c>
      <c r="C241" s="255" t="str">
        <f>VLOOKUP(B241,'PLANILHA ORÇAMENTARIA'!B:J,3,0)</f>
        <v>Ponto para iluminação de emergência completo, inclusive bloco autônomo de iluminação 2x9W com tomada universal</v>
      </c>
      <c r="D241" s="256" t="str">
        <f>VLOOKUP(B241,'PLANILHA ORÇAMENTARIA'!B:J,5,0)</f>
        <v xml:space="preserve">und </v>
      </c>
      <c r="E241" s="189">
        <v>22</v>
      </c>
      <c r="F241" s="246"/>
      <c r="G241" s="246"/>
      <c r="H241" s="246"/>
      <c r="I241" s="247"/>
      <c r="J241" s="248" t="s">
        <v>620</v>
      </c>
      <c r="K241" s="251">
        <f t="shared" si="44"/>
        <v>22</v>
      </c>
    </row>
    <row r="242" spans="1:11">
      <c r="A242" s="22"/>
      <c r="B242" s="234" t="s">
        <v>617</v>
      </c>
      <c r="C242" s="298" t="str">
        <f>VLOOKUP(B242,'PLANILHA ORÇAMENTARIA'!B:J,2,0)</f>
        <v>FOTOVOLTAICO</v>
      </c>
      <c r="D242" s="236"/>
      <c r="E242" s="236"/>
      <c r="F242" s="237"/>
      <c r="G242" s="237"/>
      <c r="H242" s="237"/>
      <c r="I242" s="237"/>
      <c r="J242" s="235"/>
      <c r="K242" s="238"/>
    </row>
    <row r="243" spans="1:11">
      <c r="B243" s="258" t="s">
        <v>618</v>
      </c>
      <c r="C243" s="255" t="str">
        <f>VLOOKUP(B243,'PLANILHA ORÇAMENTARIA'!B:J,3,0)</f>
        <v>FORNECIMENTO DO KIT FOTOVOLTAICO</v>
      </c>
      <c r="D243" s="256" t="str">
        <f>VLOOKUP(B243,'PLANILHA ORÇAMENTARIA'!B:J,5,0)</f>
        <v>und</v>
      </c>
      <c r="E243" s="189">
        <v>1</v>
      </c>
      <c r="F243" s="246"/>
      <c r="G243" s="246"/>
      <c r="H243" s="246"/>
      <c r="I243" s="247"/>
      <c r="J243" s="248" t="s">
        <v>620</v>
      </c>
      <c r="K243" s="251">
        <f t="shared" ref="K243" si="45">E243</f>
        <v>1</v>
      </c>
    </row>
    <row r="244" spans="1:11">
      <c r="B244" s="258" t="s">
        <v>728</v>
      </c>
      <c r="C244" s="255" t="str">
        <f>VLOOKUP(B244,'PLANILHA ORÇAMENTARIA'!B:J,3,0)</f>
        <v>INSTALAÇÃO DO KIT FOTOVOLTAICO</v>
      </c>
      <c r="D244" s="256" t="str">
        <f>VLOOKUP(B244,'PLANILHA ORÇAMENTARIA'!B:J,5,0)</f>
        <v>und</v>
      </c>
      <c r="E244" s="189">
        <v>1</v>
      </c>
      <c r="F244" s="246"/>
      <c r="G244" s="246"/>
      <c r="H244" s="246"/>
      <c r="I244" s="247"/>
      <c r="J244" s="248" t="s">
        <v>620</v>
      </c>
      <c r="K244" s="251">
        <f t="shared" ref="K244" si="46">E244</f>
        <v>1</v>
      </c>
    </row>
    <row r="245" spans="1:11">
      <c r="A245" s="22"/>
      <c r="B245" s="234">
        <v>18</v>
      </c>
      <c r="C245" s="298" t="str">
        <f>VLOOKUP(B245,'PLANILHA ORÇAMENTARIA'!B:J,2,0)</f>
        <v>INSTALAÇÃO DE CLIMATIZAÇÃO</v>
      </c>
      <c r="D245" s="236"/>
      <c r="E245" s="236"/>
      <c r="F245" s="237"/>
      <c r="G245" s="237"/>
      <c r="H245" s="237"/>
      <c r="I245" s="237"/>
      <c r="J245" s="235"/>
      <c r="K245" s="238"/>
    </row>
    <row r="246" spans="1:11" ht="51">
      <c r="B246" s="258" t="s">
        <v>338</v>
      </c>
      <c r="C246" s="255" t="str">
        <f>VLOOKUP(B246,'PLANILHA ORÇAMENTARIA'!B:J,3,0)</f>
        <v>Fornecimento e Instalação de Unidade Evaporadora e Condensadora de Ar Condicionado tipo Split Inverter Hi-Wall (Parede) de 12.000 BTU´s 220V - Ciclo Frio - Classificação A (Selo PROCEL), inclusive amortecedores vibra-stop</v>
      </c>
      <c r="D246" s="256" t="str">
        <f>VLOOKUP(B246,'PLANILHA ORÇAMENTARIA'!B:J,5,0)</f>
        <v>und</v>
      </c>
      <c r="E246" s="189">
        <v>2</v>
      </c>
      <c r="F246" s="246"/>
      <c r="G246" s="246"/>
      <c r="H246" s="246"/>
      <c r="I246" s="247"/>
      <c r="J246" s="248" t="s">
        <v>527</v>
      </c>
      <c r="K246" s="251">
        <f t="shared" ref="K246:K253" si="47">E246</f>
        <v>2</v>
      </c>
    </row>
    <row r="247" spans="1:11" ht="51">
      <c r="B247" s="258" t="s">
        <v>339</v>
      </c>
      <c r="C247" s="255" t="str">
        <f>VLOOKUP(B247,'PLANILHA ORÇAMENTARIA'!B:J,3,0)</f>
        <v>Fornecimento e Instalação de Unidade Evaporadora e Condensadora de Ar Condicionado tipo Split Inverter Hi-Wall (Parede) de 18.000 BTU´s 220V - Ciclo Frio - Classificação A (Selo PROCEL), inclusive amortecedores vibra-stop</v>
      </c>
      <c r="D247" s="256" t="str">
        <f>VLOOKUP(B247,'PLANILHA ORÇAMENTARIA'!B:J,5,0)</f>
        <v>und</v>
      </c>
      <c r="E247" s="189">
        <v>3</v>
      </c>
      <c r="F247" s="246"/>
      <c r="G247" s="246"/>
      <c r="H247" s="246"/>
      <c r="I247" s="247"/>
      <c r="J247" s="248" t="s">
        <v>527</v>
      </c>
      <c r="K247" s="251">
        <f t="shared" si="47"/>
        <v>3</v>
      </c>
    </row>
    <row r="248" spans="1:11" ht="51">
      <c r="B248" s="258" t="s">
        <v>340</v>
      </c>
      <c r="C248" s="255" t="str">
        <f>VLOOKUP(B248,'PLANILHA ORÇAMENTARIA'!B:J,3,0)</f>
        <v>Fornecimento e Instalação de Unidade Evaporadora e Condensadora de Ar Condicionado tipo Split Inverter Hi-Wall (Parede) de 24.000 BTU´s 220V - Ciclo Frio - Classificação A (Selo PROCEL), inclusive amortecedores vibra-stop</v>
      </c>
      <c r="D248" s="256" t="str">
        <f>VLOOKUP(B248,'PLANILHA ORÇAMENTARIA'!B:J,5,0)</f>
        <v>und</v>
      </c>
      <c r="E248" s="189">
        <v>2</v>
      </c>
      <c r="F248" s="246"/>
      <c r="G248" s="246"/>
      <c r="H248" s="246"/>
      <c r="I248" s="247"/>
      <c r="J248" s="248" t="s">
        <v>527</v>
      </c>
      <c r="K248" s="251">
        <f t="shared" si="47"/>
        <v>2</v>
      </c>
    </row>
    <row r="249" spans="1:11" ht="51">
      <c r="B249" s="258" t="s">
        <v>621</v>
      </c>
      <c r="C249" s="255" t="str">
        <f>VLOOKUP(B249,'PLANILHA ORÇAMENTARIA'!B:J,3,0)</f>
        <v>Fornecimento e Instalação de Unidade Evaporadora e Condensadora de Ar Condicionado tipo Split Inverter Piso Teto de 36.000 BTU´s 220V - Ciclo Quente/Frio Classificação Energética A ou B (Selo PROCEL),inclusive amortecedores vibra-stop</v>
      </c>
      <c r="D249" s="256" t="str">
        <f>VLOOKUP(B249,'PLANILHA ORÇAMENTARIA'!B:J,5,0)</f>
        <v>und</v>
      </c>
      <c r="E249" s="189">
        <v>8</v>
      </c>
      <c r="F249" s="246"/>
      <c r="G249" s="246"/>
      <c r="H249" s="246"/>
      <c r="I249" s="247"/>
      <c r="J249" s="248" t="s">
        <v>527</v>
      </c>
      <c r="K249" s="251">
        <f t="shared" si="47"/>
        <v>8</v>
      </c>
    </row>
    <row r="250" spans="1:11" ht="51">
      <c r="B250" s="258" t="s">
        <v>622</v>
      </c>
      <c r="C250" s="255" t="str">
        <f>VLOOKUP(B250,'PLANILHA ORÇAMENTARIA'!B:J,3,0)</f>
        <v>Fornecimento e Instalação de Unidade Evaporadora e Condensadora de Ar Condicionado tipo Split Inverter Piso Teto de 48.000 BTU´s 220V Trifásico - Ciclo Quente/Frio Classificação Energética A ou B (Selo
PROCEL), inclusive amortecedores vibra-stop</v>
      </c>
      <c r="D250" s="256" t="str">
        <f>VLOOKUP(B250,'PLANILHA ORÇAMENTARIA'!B:J,5,0)</f>
        <v>und</v>
      </c>
      <c r="E250" s="189">
        <v>7</v>
      </c>
      <c r="F250" s="246"/>
      <c r="G250" s="246"/>
      <c r="H250" s="246"/>
      <c r="I250" s="247"/>
      <c r="J250" s="248" t="s">
        <v>527</v>
      </c>
      <c r="K250" s="251">
        <f t="shared" si="47"/>
        <v>7</v>
      </c>
    </row>
    <row r="251" spans="1:11" ht="51">
      <c r="B251" s="258" t="s">
        <v>623</v>
      </c>
      <c r="C251" s="255" t="str">
        <f>VLOOKUP(B251,'PLANILHA ORÇAMENTARIA'!B:J,3,0)</f>
        <v>Instalação de Linha frigorígena para interligação do sistema de climatização incl. acessórios de fixação, fita PVC auto-aderente e cabo PP, exclusive tubos de cobre da linha liquida e sucção, espuma elastomérica flexível e gpas refrigerante</v>
      </c>
      <c r="D251" s="256" t="str">
        <f>VLOOKUP(B251,'PLANILHA ORÇAMENTARIA'!B:J,5,0)</f>
        <v>m</v>
      </c>
      <c r="E251" s="189">
        <v>89.69</v>
      </c>
      <c r="F251" s="246"/>
      <c r="G251" s="246"/>
      <c r="H251" s="246"/>
      <c r="I251" s="247"/>
      <c r="J251" s="248" t="s">
        <v>527</v>
      </c>
      <c r="K251" s="251">
        <f t="shared" si="47"/>
        <v>89.69</v>
      </c>
    </row>
    <row r="252" spans="1:11" ht="25.5">
      <c r="B252" s="258" t="s">
        <v>624</v>
      </c>
      <c r="C252" s="255" t="str">
        <f>VLOOKUP(B252,'PLANILHA ORÇAMENTARIA'!B:J,3,0)</f>
        <v>Tubo de cobre com isolamento térmico - ø 1/2" esp. 9mm</v>
      </c>
      <c r="D252" s="256" t="str">
        <f>VLOOKUP(B252,'PLANILHA ORÇAMENTARIA'!B:J,5,0)</f>
        <v>m</v>
      </c>
      <c r="E252" s="189">
        <v>60</v>
      </c>
      <c r="F252" s="246"/>
      <c r="G252" s="246"/>
      <c r="H252" s="246"/>
      <c r="I252" s="247"/>
      <c r="J252" s="248" t="s">
        <v>527</v>
      </c>
      <c r="K252" s="251">
        <f t="shared" si="47"/>
        <v>60</v>
      </c>
    </row>
    <row r="253" spans="1:11" ht="25.5">
      <c r="B253" s="258" t="s">
        <v>625</v>
      </c>
      <c r="C253" s="255" t="str">
        <f>VLOOKUP(B253,'PLANILHA ORÇAMENTARIA'!B:J,3,0)</f>
        <v>Tubo de cobre com isolamento térmico - ø 1/4" esp. 9mm</v>
      </c>
      <c r="D253" s="256" t="str">
        <f>VLOOKUP(B253,'PLANILHA ORÇAMENTARIA'!B:J,5,0)</f>
        <v>m</v>
      </c>
      <c r="E253" s="189">
        <v>62</v>
      </c>
      <c r="F253" s="246"/>
      <c r="G253" s="246"/>
      <c r="H253" s="246"/>
      <c r="I253" s="247"/>
      <c r="J253" s="248" t="s">
        <v>527</v>
      </c>
      <c r="K253" s="251">
        <f t="shared" si="47"/>
        <v>62</v>
      </c>
    </row>
    <row r="254" spans="1:11" ht="25.5">
      <c r="B254" s="258" t="s">
        <v>626</v>
      </c>
      <c r="C254" s="255" t="str">
        <f>VLOOKUP(B254,'PLANILHA ORÇAMENTARIA'!B:J,3,0)</f>
        <v>Tubo de cobre com isolamento térmico - ø 3/8" esp. 9mm</v>
      </c>
      <c r="D254" s="256" t="str">
        <f>VLOOKUP(B254,'PLANILHA ORÇAMENTARIA'!B:J,5,0)</f>
        <v>m</v>
      </c>
      <c r="E254" s="189">
        <v>130</v>
      </c>
      <c r="F254" s="246"/>
      <c r="G254" s="246"/>
      <c r="H254" s="246"/>
      <c r="I254" s="247"/>
      <c r="J254" s="248" t="s">
        <v>527</v>
      </c>
      <c r="K254" s="251">
        <f t="shared" ref="K254:K256" si="48">E254</f>
        <v>130</v>
      </c>
    </row>
    <row r="255" spans="1:11" ht="25.5">
      <c r="B255" s="258" t="s">
        <v>627</v>
      </c>
      <c r="C255" s="255" t="str">
        <f>VLOOKUP(B255,'PLANILHA ORÇAMENTARIA'!B:J,3,0)</f>
        <v>Tubo de cobre com isolamento térmico - ø 5/8" esp. 9mm</v>
      </c>
      <c r="D255" s="256" t="str">
        <f>VLOOKUP(B255,'PLANILHA ORÇAMENTARIA'!B:J,5,0)</f>
        <v>m</v>
      </c>
      <c r="E255" s="189">
        <v>141</v>
      </c>
      <c r="F255" s="246"/>
      <c r="G255" s="246"/>
      <c r="H255" s="246"/>
      <c r="I255" s="247"/>
      <c r="J255" s="248" t="s">
        <v>527</v>
      </c>
      <c r="K255" s="251">
        <f t="shared" si="48"/>
        <v>141</v>
      </c>
    </row>
    <row r="256" spans="1:11" ht="25.5">
      <c r="B256" s="258" t="s">
        <v>628</v>
      </c>
      <c r="C256" s="255" t="str">
        <f>VLOOKUP(B256,'PLANILHA ORÇAMENTARIA'!B:J,3,0)</f>
        <v>Gás refrigerante R410A</v>
      </c>
      <c r="D256" s="256" t="str">
        <f>VLOOKUP(B256,'PLANILHA ORÇAMENTARIA'!B:J,5,0)</f>
        <v>kg</v>
      </c>
      <c r="E256" s="189">
        <v>72</v>
      </c>
      <c r="F256" s="246"/>
      <c r="G256" s="246"/>
      <c r="H256" s="246"/>
      <c r="I256" s="247"/>
      <c r="J256" s="248" t="s">
        <v>527</v>
      </c>
      <c r="K256" s="251">
        <f t="shared" si="48"/>
        <v>72</v>
      </c>
    </row>
    <row r="257" spans="1:11">
      <c r="A257" s="22"/>
      <c r="B257" s="234">
        <v>19</v>
      </c>
      <c r="C257" s="298" t="str">
        <f>VLOOKUP(B257,'PLANILHA ORÇAMENTARIA'!B:J,2,0)</f>
        <v>INSTALAÇÕES DE REDE ESTRUTURADA</v>
      </c>
      <c r="D257" s="236"/>
      <c r="E257" s="236"/>
      <c r="F257" s="237"/>
      <c r="G257" s="237"/>
      <c r="H257" s="237"/>
      <c r="I257" s="237"/>
      <c r="J257" s="235"/>
      <c r="K257" s="238"/>
    </row>
    <row r="258" spans="1:11">
      <c r="B258" s="258" t="s">
        <v>308</v>
      </c>
      <c r="C258" s="255" t="str">
        <f>VLOOKUP(B258,'PLANILHA ORÇAMENTARIA'!B:J,3,0)</f>
        <v>Caixa de embutir marca de referência Tigreflex, 4x2"</v>
      </c>
      <c r="D258" s="256" t="str">
        <f>VLOOKUP(B258,'PLANILHA ORÇAMENTARIA'!B:J,5,0)</f>
        <v>und</v>
      </c>
      <c r="E258" s="189">
        <v>20</v>
      </c>
      <c r="F258" s="246"/>
      <c r="G258" s="246"/>
      <c r="H258" s="246"/>
      <c r="I258" s="247"/>
      <c r="J258" s="259" t="s">
        <v>528</v>
      </c>
      <c r="K258" s="251">
        <f t="shared" ref="K258:K270" si="49">E258</f>
        <v>20</v>
      </c>
    </row>
    <row r="259" spans="1:11" ht="25.5">
      <c r="B259" s="258" t="s">
        <v>309</v>
      </c>
      <c r="C259" s="255" t="str">
        <f>VLOOKUP(B259,'PLANILHA ORÇAMENTARIA'!B:J,3,0)</f>
        <v>Caixa de passagem 150x150x80mm, chapa 18, com tampa parafusada</v>
      </c>
      <c r="D259" s="256" t="str">
        <f>VLOOKUP(B259,'PLANILHA ORÇAMENTARIA'!B:J,5,0)</f>
        <v xml:space="preserve"> und</v>
      </c>
      <c r="E259" s="189">
        <v>2</v>
      </c>
      <c r="F259" s="246"/>
      <c r="G259" s="246"/>
      <c r="H259" s="246"/>
      <c r="I259" s="247"/>
      <c r="J259" s="259" t="s">
        <v>528</v>
      </c>
      <c r="K259" s="251">
        <f t="shared" si="49"/>
        <v>2</v>
      </c>
    </row>
    <row r="260" spans="1:11">
      <c r="B260" s="258" t="s">
        <v>310</v>
      </c>
      <c r="C260" s="255" t="str">
        <f>VLOOKUP(B260,'PLANILHA ORÇAMENTARIA'!B:J,3,0)</f>
        <v xml:space="preserve">Eletroduto flexível corrugado 1", marca de referência TIGRE </v>
      </c>
      <c r="D260" s="256" t="str">
        <f>VLOOKUP(B260,'PLANILHA ORÇAMENTARIA'!B:J,5,0)</f>
        <v>m</v>
      </c>
      <c r="E260" s="189">
        <v>1350</v>
      </c>
      <c r="F260" s="246"/>
      <c r="G260" s="246"/>
      <c r="H260" s="246"/>
      <c r="I260" s="247"/>
      <c r="J260" s="259" t="s">
        <v>528</v>
      </c>
      <c r="K260" s="251">
        <f t="shared" si="49"/>
        <v>1350</v>
      </c>
    </row>
    <row r="261" spans="1:11">
      <c r="B261" s="258" t="s">
        <v>311</v>
      </c>
      <c r="C261" s="255" t="str">
        <f>VLOOKUP(B261,'PLANILHA ORÇAMENTARIA'!B:J,3,0)</f>
        <v>Espelho 4" x 2" com conector RJ 45 fêmea CAT. 5e</v>
      </c>
      <c r="D261" s="256" t="str">
        <f>VLOOKUP(B261,'PLANILHA ORÇAMENTARIA'!B:J,5,0)</f>
        <v>UND</v>
      </c>
      <c r="E261" s="189">
        <v>15</v>
      </c>
      <c r="F261" s="246"/>
      <c r="G261" s="189"/>
      <c r="H261" s="246"/>
      <c r="I261" s="247"/>
      <c r="J261" s="259" t="s">
        <v>528</v>
      </c>
      <c r="K261" s="251">
        <f t="shared" si="49"/>
        <v>15</v>
      </c>
    </row>
    <row r="262" spans="1:11">
      <c r="B262" s="258" t="s">
        <v>312</v>
      </c>
      <c r="C262" s="255" t="str">
        <f>VLOOKUP(B262,'PLANILHA ORÇAMENTARIA'!B:J,3,0)</f>
        <v xml:space="preserve">Tomada para telefone com conector RJ 11 </v>
      </c>
      <c r="D262" s="256" t="str">
        <f>VLOOKUP(B262,'PLANILHA ORÇAMENTARIA'!B:J,5,0)</f>
        <v xml:space="preserve">und </v>
      </c>
      <c r="E262" s="189">
        <v>6</v>
      </c>
      <c r="F262" s="246"/>
      <c r="G262" s="189"/>
      <c r="H262" s="246"/>
      <c r="I262" s="247"/>
      <c r="J262" s="259" t="s">
        <v>528</v>
      </c>
      <c r="K262" s="251">
        <f t="shared" si="49"/>
        <v>6</v>
      </c>
    </row>
    <row r="263" spans="1:11" ht="25.5">
      <c r="B263" s="258" t="s">
        <v>313</v>
      </c>
      <c r="C263" s="255" t="str">
        <f>VLOOKUP(B263,'PLANILHA ORÇAMENTARIA'!B:J,3,0)</f>
        <v>CABO ELETRÔNICO CATEGORIA 6, INSTALADO EM EDIFICAÇÃO INSTITUCIONAL - FORNECIMENTO E INSTALAÇÃO. AF_11/2019</v>
      </c>
      <c r="D263" s="256" t="str">
        <f>VLOOKUP(B263,'PLANILHA ORÇAMENTARIA'!B:J,5,0)</f>
        <v>m</v>
      </c>
      <c r="E263" s="189">
        <v>950</v>
      </c>
      <c r="F263" s="246"/>
      <c r="G263" s="246"/>
      <c r="H263" s="246"/>
      <c r="I263" s="247"/>
      <c r="J263" s="259" t="s">
        <v>528</v>
      </c>
      <c r="K263" s="251">
        <f t="shared" si="49"/>
        <v>950</v>
      </c>
    </row>
    <row r="264" spans="1:11">
      <c r="B264" s="258" t="s">
        <v>314</v>
      </c>
      <c r="C264" s="255" t="str">
        <f>VLOOKUP(B264,'PLANILHA ORÇAMENTARIA'!B:J,3,0)</f>
        <v xml:space="preserve">Cabo telefônico CI, diâmetro do condutor 50mm, 30 pares </v>
      </c>
      <c r="D264" s="256" t="str">
        <f>VLOOKUP(B264,'PLANILHA ORÇAMENTARIA'!B:J,5,0)</f>
        <v>m</v>
      </c>
      <c r="E264" s="189">
        <v>200</v>
      </c>
      <c r="F264" s="246"/>
      <c r="G264" s="189"/>
      <c r="H264" s="246"/>
      <c r="I264" s="247"/>
      <c r="J264" s="259" t="s">
        <v>528</v>
      </c>
      <c r="K264" s="251">
        <f t="shared" si="49"/>
        <v>200</v>
      </c>
    </row>
    <row r="265" spans="1:11" ht="38.25">
      <c r="B265" s="258" t="s">
        <v>315</v>
      </c>
      <c r="C265" s="255" t="str">
        <f>VLOOKUP(B265,'PLANILHA ORÇAMENTARIA'!B:J,3,0)</f>
        <v>No Break 1400VA (980W) Senoidal, tensão de entrada: 120V e tensão de saida: 120V, Interface Port DB-9 RS-232, SmartSlot, USB, inclusive fixação em rack 19"</v>
      </c>
      <c r="D265" s="256" t="str">
        <f>VLOOKUP(B265,'PLANILHA ORÇAMENTARIA'!B:J,5,0)</f>
        <v>und</v>
      </c>
      <c r="E265" s="189">
        <v>1</v>
      </c>
      <c r="F265" s="246"/>
      <c r="G265" s="189"/>
      <c r="H265" s="246"/>
      <c r="I265" s="247"/>
      <c r="J265" s="259" t="s">
        <v>528</v>
      </c>
      <c r="K265" s="251">
        <f t="shared" si="49"/>
        <v>1</v>
      </c>
    </row>
    <row r="266" spans="1:11">
      <c r="B266" s="258" t="s">
        <v>316</v>
      </c>
      <c r="C266" s="255" t="str">
        <f>VLOOKUP(B266,'PLANILHA ORÇAMENTARIA'!B:J,3,0)</f>
        <v>Patch Cord Multilan Extra Flexível CAT 5e U/UTP RJ-45 - 1,50 m</v>
      </c>
      <c r="D266" s="256" t="str">
        <f>VLOOKUP(B266,'PLANILHA ORÇAMENTARIA'!B:J,5,0)</f>
        <v>und</v>
      </c>
      <c r="E266" s="189">
        <v>1</v>
      </c>
      <c r="F266" s="246"/>
      <c r="G266" s="246"/>
      <c r="H266" s="246"/>
      <c r="I266" s="247"/>
      <c r="J266" s="259" t="s">
        <v>528</v>
      </c>
      <c r="K266" s="251">
        <f t="shared" si="49"/>
        <v>1</v>
      </c>
    </row>
    <row r="267" spans="1:11" ht="25.5">
      <c r="B267" s="258" t="s">
        <v>317</v>
      </c>
      <c r="C267" s="255" t="str">
        <f>VLOOKUP(B267,'PLANILHA ORÇAMENTARIA'!B:J,3,0)</f>
        <v>Switch 24 portas RJ-45 10/100 + 2 10/100/1000, inclusive fixação em Rack 19"</v>
      </c>
      <c r="D267" s="256" t="str">
        <f>VLOOKUP(B267,'PLANILHA ORÇAMENTARIA'!B:J,5,0)</f>
        <v>und</v>
      </c>
      <c r="E267" s="189">
        <v>1</v>
      </c>
      <c r="F267" s="246"/>
      <c r="G267" s="246"/>
      <c r="H267" s="246"/>
      <c r="I267" s="247"/>
      <c r="J267" s="259" t="s">
        <v>528</v>
      </c>
      <c r="K267" s="251">
        <f t="shared" si="49"/>
        <v>1</v>
      </c>
    </row>
    <row r="268" spans="1:11" ht="25.5">
      <c r="B268" s="258" t="s">
        <v>318</v>
      </c>
      <c r="C268" s="255" t="str">
        <f>VLOOKUP(B268,'PLANILHA ORÇAMENTARIA'!B:J,3,0)</f>
        <v>Fornecimento e instalação de um Access Point Coorporativo IntelBras AP310</v>
      </c>
      <c r="D268" s="256" t="str">
        <f>VLOOKUP(B268,'PLANILHA ORÇAMENTARIA'!B:J,5,0)</f>
        <v>und</v>
      </c>
      <c r="E268" s="189">
        <v>6</v>
      </c>
      <c r="F268" s="246"/>
      <c r="G268" s="246"/>
      <c r="H268" s="246"/>
      <c r="I268" s="247"/>
      <c r="J268" s="259" t="s">
        <v>528</v>
      </c>
      <c r="K268" s="251">
        <f t="shared" si="49"/>
        <v>6</v>
      </c>
    </row>
    <row r="269" spans="1:11" ht="25.5">
      <c r="B269" s="258" t="s">
        <v>319</v>
      </c>
      <c r="C269" s="255" t="str">
        <f>VLOOKUP(B269,'PLANILHA ORÇAMENTARIA'!B:J,3,0)</f>
        <v>PATCH PANEL 24 PORTAS, CATEGORIA 6 - FORNECIMENTO E INSTALAÇÃO. AF_11/2019</v>
      </c>
      <c r="D269" s="256" t="str">
        <f>VLOOKUP(B269,'PLANILHA ORÇAMENTARIA'!B:J,5,0)</f>
        <v>und</v>
      </c>
      <c r="E269" s="189">
        <v>1</v>
      </c>
      <c r="F269" s="246"/>
      <c r="G269" s="246"/>
      <c r="H269" s="246"/>
      <c r="I269" s="247"/>
      <c r="J269" s="259" t="s">
        <v>528</v>
      </c>
      <c r="K269" s="251">
        <f t="shared" si="49"/>
        <v>1</v>
      </c>
    </row>
    <row r="270" spans="1:11" ht="25.5">
      <c r="B270" s="258" t="s">
        <v>320</v>
      </c>
      <c r="C270" s="255" t="str">
        <f>VLOOKUP(B270,'PLANILHA ORÇAMENTARIA'!B:J,3,0)</f>
        <v>Fornecimento e instalação de Mini Rack de Parede Padrão 19" - 16 U´s x 570mm</v>
      </c>
      <c r="D270" s="256" t="str">
        <f>VLOOKUP(B270,'PLANILHA ORÇAMENTARIA'!B:J,5,0)</f>
        <v>und</v>
      </c>
      <c r="E270" s="189">
        <v>1</v>
      </c>
      <c r="F270" s="246"/>
      <c r="G270" s="246"/>
      <c r="H270" s="246"/>
      <c r="I270" s="247"/>
      <c r="J270" s="259" t="s">
        <v>528</v>
      </c>
      <c r="K270" s="251">
        <f t="shared" si="49"/>
        <v>1</v>
      </c>
    </row>
    <row r="271" spans="1:11">
      <c r="A271" s="22"/>
      <c r="B271" s="234">
        <v>20</v>
      </c>
      <c r="C271" s="298" t="str">
        <f>VLOOKUP(B271,'PLANILHA ORÇAMENTARIA'!B:J,2,0)</f>
        <v>SISTEMA DE PROTEÇÃO CONTRA DESCARGAS ATMOSFERICAS (SPDA)</v>
      </c>
      <c r="D271" s="236"/>
      <c r="E271" s="236"/>
      <c r="F271" s="237"/>
      <c r="G271" s="237"/>
      <c r="H271" s="237"/>
      <c r="I271" s="237"/>
      <c r="J271" s="235"/>
      <c r="K271" s="238"/>
    </row>
    <row r="272" spans="1:11">
      <c r="B272" s="258" t="s">
        <v>322</v>
      </c>
      <c r="C272" s="255" t="str">
        <f>VLOOKUP(B272,'PLANILHA ORÇAMENTARIA'!B:J,3,0)</f>
        <v>Haste de terra tipo COPPERWELD - 5/8" x 2.40m</v>
      </c>
      <c r="D272" s="256" t="str">
        <f>VLOOKUP(B272,'PLANILHA ORÇAMENTARIA'!B:J,5,0)</f>
        <v>und</v>
      </c>
      <c r="E272" s="168">
        <v>23</v>
      </c>
      <c r="F272" s="246"/>
      <c r="G272" s="246"/>
      <c r="H272" s="246"/>
      <c r="I272" s="247"/>
      <c r="J272" s="259" t="s">
        <v>529</v>
      </c>
      <c r="K272" s="251">
        <f t="shared" ref="K272:K281" si="50">E272</f>
        <v>23</v>
      </c>
    </row>
    <row r="273" spans="1:11" ht="25.5">
      <c r="B273" s="258" t="s">
        <v>323</v>
      </c>
      <c r="C273" s="255" t="str">
        <f>VLOOKUP(B273,'PLANILHA ORÇAMENTARIA'!B:J,3,0)</f>
        <v>Barra chata em alumínio 7/8"x1/8" (70mm²), com furos diâmetro 7 mm ref. TEL-771, marca de referência Termotécnica ou equivalente</v>
      </c>
      <c r="D273" s="256" t="str">
        <f>VLOOKUP(B273,'PLANILHA ORÇAMENTARIA'!B:J,5,0)</f>
        <v>m</v>
      </c>
      <c r="E273" s="168">
        <v>2200</v>
      </c>
      <c r="F273" s="246"/>
      <c r="G273" s="192"/>
      <c r="H273" s="246"/>
      <c r="I273" s="247"/>
      <c r="J273" s="259" t="s">
        <v>529</v>
      </c>
      <c r="K273" s="251">
        <f t="shared" si="50"/>
        <v>2200</v>
      </c>
    </row>
    <row r="274" spans="1:11" ht="38.25">
      <c r="B274" s="258" t="s">
        <v>324</v>
      </c>
      <c r="C274" s="255" t="str">
        <f>VLOOKUP(B274,'PLANILHA ORÇAMENTARIA'!B:J,3,0)</f>
        <v>Cabo de cobre nú 50 mm2, ref. TEL-5750, marca de referência Termotécnica ou equivalente, inclusive abertura e fechamento de vala para cabo dimensões 50x20cm</v>
      </c>
      <c r="D274" s="256" t="str">
        <f>VLOOKUP(B274,'PLANILHA ORÇAMENTARIA'!B:J,5,0)</f>
        <v xml:space="preserve">m </v>
      </c>
      <c r="E274" s="168">
        <v>600</v>
      </c>
      <c r="F274" s="246"/>
      <c r="G274" s="192"/>
      <c r="H274" s="246"/>
      <c r="I274" s="247"/>
      <c r="J274" s="259" t="s">
        <v>529</v>
      </c>
      <c r="K274" s="251">
        <f t="shared" si="50"/>
        <v>600</v>
      </c>
    </row>
    <row r="275" spans="1:11">
      <c r="B275" s="258" t="s">
        <v>325</v>
      </c>
      <c r="C275" s="255" t="str">
        <f>VLOOKUP(B275,'PLANILHA ORÇAMENTARIA'!B:J,3,0)</f>
        <v xml:space="preserve">Terminal para ligação de cabo a barra de 50.0 mm2 </v>
      </c>
      <c r="D275" s="256" t="str">
        <f>VLOOKUP(B275,'PLANILHA ORÇAMENTARIA'!B:J,5,0)</f>
        <v>und</v>
      </c>
      <c r="E275" s="168">
        <v>23</v>
      </c>
      <c r="F275" s="246"/>
      <c r="G275" s="246"/>
      <c r="H275" s="246"/>
      <c r="I275" s="247"/>
      <c r="J275" s="259" t="s">
        <v>529</v>
      </c>
      <c r="K275" s="251">
        <f t="shared" si="50"/>
        <v>23</v>
      </c>
    </row>
    <row r="276" spans="1:11" ht="25.5">
      <c r="B276" s="258" t="s">
        <v>326</v>
      </c>
      <c r="C276" s="255" t="str">
        <f>VLOOKUP(B276,'PLANILHA ORÇAMENTARIA'!B:J,3,0)</f>
        <v>Terminal estanhado de 1 compressão 1 furo, 50mm², ref. TEL-5150, marca de referência Termotécnica ou equivalente</v>
      </c>
      <c r="D276" s="256" t="str">
        <f>VLOOKUP(B276,'PLANILHA ORÇAMENTARIA'!B:J,5,0)</f>
        <v>und</v>
      </c>
      <c r="E276" s="168">
        <v>23</v>
      </c>
      <c r="F276" s="246"/>
      <c r="G276" s="246"/>
      <c r="H276" s="246"/>
      <c r="I276" s="247"/>
      <c r="J276" s="259" t="s">
        <v>529</v>
      </c>
      <c r="K276" s="251">
        <f t="shared" si="50"/>
        <v>23</v>
      </c>
    </row>
    <row r="277" spans="1:11" ht="51">
      <c r="B277" s="258" t="s">
        <v>327</v>
      </c>
      <c r="C277" s="255" t="str">
        <f>VLOOKUP(B277,'PLANILHA ORÇAMENTARIA'!B:J,3,0)</f>
        <v>Pára-raios tipo franklim incluindo base de fixação, conjunto de contraventagem c/abraçadeira p/3 estais em tubo e demais acessórios c/exceção do cabo de cobre de descida e suportes isoladores</v>
      </c>
      <c r="D277" s="256" t="str">
        <f>VLOOKUP(B277,'PLANILHA ORÇAMENTARIA'!B:J,5,0)</f>
        <v>und</v>
      </c>
      <c r="E277" s="168">
        <v>1</v>
      </c>
      <c r="F277" s="246"/>
      <c r="G277" s="246"/>
      <c r="H277" s="246"/>
      <c r="I277" s="247"/>
      <c r="J277" s="259" t="s">
        <v>529</v>
      </c>
      <c r="K277" s="251">
        <f t="shared" si="50"/>
        <v>1</v>
      </c>
    </row>
    <row r="278" spans="1:11" ht="25.5">
      <c r="B278" s="258" t="s">
        <v>328</v>
      </c>
      <c r="C278" s="255" t="str">
        <f>VLOOKUP(B278,'PLANILHA ORÇAMENTARIA'!B:J,3,0)</f>
        <v>Eletroduto aparente de PVC rígido roscável diâmetro 1", inclusive abraçadeira de fixação</v>
      </c>
      <c r="D278" s="256" t="str">
        <f>VLOOKUP(B278,'PLANILHA ORÇAMENTARIA'!B:J,5,0)</f>
        <v>und</v>
      </c>
      <c r="E278" s="168">
        <v>69</v>
      </c>
      <c r="F278" s="246"/>
      <c r="G278" s="246"/>
      <c r="H278" s="246"/>
      <c r="I278" s="247"/>
      <c r="J278" s="259" t="s">
        <v>529</v>
      </c>
      <c r="K278" s="251">
        <f t="shared" si="50"/>
        <v>69</v>
      </c>
    </row>
    <row r="279" spans="1:11" ht="51">
      <c r="B279" s="258" t="s">
        <v>329</v>
      </c>
      <c r="C279" s="255" t="str">
        <f>VLOOKUP(B279,'PLANILHA ORÇAMENTARIA'!B:J,3,0)</f>
        <v>Terminal aéreo em latão (minicaptor), com conector e fixação horizontal 250mm x 10mm, ref. TEL-2024, inclusive vedação dos furos com poliuretano ref. TEL 5905, marca de ref. Termotécnica ou equivalente</v>
      </c>
      <c r="D279" s="256" t="str">
        <f>VLOOKUP(B279,'PLANILHA ORÇAMENTARIA'!B:J,5,0)</f>
        <v>und</v>
      </c>
      <c r="E279" s="168">
        <v>35</v>
      </c>
      <c r="F279" s="246"/>
      <c r="G279" s="246"/>
      <c r="H279" s="246"/>
      <c r="I279" s="247"/>
      <c r="J279" s="259" t="s">
        <v>529</v>
      </c>
      <c r="K279" s="251">
        <f t="shared" si="50"/>
        <v>35</v>
      </c>
    </row>
    <row r="280" spans="1:11" ht="25.5">
      <c r="B280" s="258" t="s">
        <v>330</v>
      </c>
      <c r="C280" s="255" t="str">
        <f>VLOOKUP(B280,'PLANILHA ORÇAMENTARIA'!B:J,3,0)</f>
        <v>Tampa reforçada em ferro fundido com escotilha TEL 536, inclusive assentamento, marca de referência Termotécnica ou equivalente</v>
      </c>
      <c r="D280" s="256" t="str">
        <f>VLOOKUP(B280,'PLANILHA ORÇAMENTARIA'!B:J,5,0)</f>
        <v>und</v>
      </c>
      <c r="E280" s="168">
        <v>23</v>
      </c>
      <c r="F280" s="246"/>
      <c r="G280" s="246"/>
      <c r="H280" s="246"/>
      <c r="I280" s="247"/>
      <c r="J280" s="259" t="s">
        <v>529</v>
      </c>
      <c r="K280" s="251">
        <f t="shared" si="50"/>
        <v>23</v>
      </c>
    </row>
    <row r="281" spans="1:11" ht="38.25">
      <c r="B281" s="258" t="s">
        <v>332</v>
      </c>
      <c r="C281" s="255" t="str">
        <f>VLOOKUP(B281,'PLANILHA ORÇAMENTARIA'!B:J,3,0)</f>
        <v xml:space="preserve">Caixa de inspeção em PVC, diâmetro 300 mm, ref TEL-552, marca de referência Termotécnica ouequivalente, inclusive escavação e reaterro </v>
      </c>
      <c r="D281" s="256" t="str">
        <f>VLOOKUP(B281,'PLANILHA ORÇAMENTARIA'!B:J,5,0)</f>
        <v>und</v>
      </c>
      <c r="E281" s="168">
        <v>23</v>
      </c>
      <c r="F281" s="246"/>
      <c r="G281" s="246"/>
      <c r="H281" s="246"/>
      <c r="I281" s="247"/>
      <c r="J281" s="259" t="s">
        <v>529</v>
      </c>
      <c r="K281" s="251">
        <f t="shared" si="50"/>
        <v>23</v>
      </c>
    </row>
    <row r="282" spans="1:11">
      <c r="A282" s="22"/>
      <c r="B282" s="234">
        <v>21</v>
      </c>
      <c r="C282" s="297" t="str">
        <f>VLOOKUP(B282,'PLANILHA ORÇAMENTARIA'!B:J,2,0)</f>
        <v>REFORMA QUADRA POLIESPORTIVA</v>
      </c>
      <c r="D282" s="236"/>
      <c r="E282" s="236"/>
      <c r="F282" s="237"/>
      <c r="G282" s="237"/>
      <c r="H282" s="237"/>
      <c r="I282" s="237"/>
      <c r="J282" s="235"/>
      <c r="K282" s="238"/>
    </row>
    <row r="283" spans="1:11">
      <c r="A283" s="22"/>
      <c r="B283" s="234" t="s">
        <v>435</v>
      </c>
      <c r="C283" s="297" t="str">
        <f>VLOOKUP(B283,'PLANILHA ORÇAMENTARIA'!B:J,2,0)</f>
        <v>DEMOLIÇÕES E RETIRADAS</v>
      </c>
      <c r="D283" s="236"/>
      <c r="E283" s="236"/>
      <c r="F283" s="237"/>
      <c r="G283" s="237"/>
      <c r="H283" s="237"/>
      <c r="I283" s="237"/>
      <c r="J283" s="235"/>
      <c r="K283" s="238"/>
    </row>
    <row r="284" spans="1:11" ht="25.5">
      <c r="B284" s="258" t="s">
        <v>439</v>
      </c>
      <c r="C284" s="255" t="str">
        <f>VLOOKUP(B284,'PLANILHA ORÇAMENTARIA'!B:J,3,0)</f>
        <v>Retirada de grades, gradis, alambrados, cercas e portões</v>
      </c>
      <c r="D284" s="256" t="str">
        <f>VLOOKUP(B284,'PLANILHA ORÇAMENTARIA'!B:J,5,0)</f>
        <v>m²</v>
      </c>
      <c r="E284" s="38">
        <v>236</v>
      </c>
      <c r="F284" s="252"/>
      <c r="G284" s="252"/>
      <c r="H284" s="252"/>
      <c r="I284" s="252"/>
      <c r="J284" s="248" t="s">
        <v>504</v>
      </c>
      <c r="K284" s="251">
        <f t="shared" ref="K284:K285" si="51">E284</f>
        <v>236</v>
      </c>
    </row>
    <row r="285" spans="1:11" ht="25.5">
      <c r="B285" s="258" t="s">
        <v>443</v>
      </c>
      <c r="C285" s="255" t="str">
        <f>VLOOKUP(B285,'PLANILHA ORÇAMENTARIA'!B:J,3,0)</f>
        <v>Remoção de pintura antiga a óleo ou esmalte</v>
      </c>
      <c r="D285" s="256" t="str">
        <f>VLOOKUP(B285,'PLANILHA ORÇAMENTARIA'!B:J,5,0)</f>
        <v>m²</v>
      </c>
      <c r="E285" s="38">
        <v>484.05</v>
      </c>
      <c r="F285" s="252"/>
      <c r="G285" s="252"/>
      <c r="H285" s="252"/>
      <c r="I285" s="252"/>
      <c r="J285" s="248" t="s">
        <v>504</v>
      </c>
      <c r="K285" s="251">
        <f t="shared" si="51"/>
        <v>484.05</v>
      </c>
    </row>
    <row r="286" spans="1:11">
      <c r="A286" s="22"/>
      <c r="B286" s="234" t="s">
        <v>437</v>
      </c>
      <c r="C286" s="297" t="str">
        <f>VLOOKUP(B286,'PLANILHA ORÇAMENTARIA'!B:J,2,0)</f>
        <v>ALVENARIA E ALAMBRADO</v>
      </c>
      <c r="D286" s="236"/>
      <c r="E286" s="236"/>
      <c r="F286" s="237"/>
      <c r="G286" s="237"/>
      <c r="H286" s="237"/>
      <c r="I286" s="237"/>
      <c r="J286" s="235"/>
      <c r="K286" s="238"/>
    </row>
    <row r="287" spans="1:11" ht="25.5">
      <c r="B287" s="258" t="s">
        <v>440</v>
      </c>
      <c r="C287" s="255" t="str">
        <f>VLOOKUP(B287,'PLANILHA ORÇAMENTARIA'!B:J,3,0)</f>
        <v>Pintura com tinta acrílica Suvinil, Coral ou Metalatex, inclusive selador acrílico, em paredes externas a três demãos</v>
      </c>
      <c r="D287" s="256" t="str">
        <f>VLOOKUP(B287,'PLANILHA ORÇAMENTARIA'!B:J,5,0)</f>
        <v>m²</v>
      </c>
      <c r="E287" s="38">
        <v>242.51</v>
      </c>
      <c r="F287" s="252"/>
      <c r="G287" s="252"/>
      <c r="H287" s="252"/>
      <c r="I287" s="252"/>
      <c r="J287" s="248" t="s">
        <v>504</v>
      </c>
      <c r="K287" s="251">
        <f t="shared" ref="K287:K288" si="52">E287</f>
        <v>242.51</v>
      </c>
    </row>
    <row r="288" spans="1:11" ht="38.25">
      <c r="B288" s="258" t="s">
        <v>444</v>
      </c>
      <c r="C288" s="255" t="str">
        <f>VLOOKUP(B288,'PLANILHA ORÇAMENTARIA'!B:J,3,0)</f>
        <v>Alambrado com tela fio 12, malha de 1", tubos de ferro galvanizado verticais de 2" e tubos de ferro galvanizado horizontais de 1" soldados nas partes superior e inferior, inclusive portão</v>
      </c>
      <c r="D288" s="256" t="str">
        <f>VLOOKUP(B288,'PLANILHA ORÇAMENTARIA'!B:J,5,0)</f>
        <v>m²</v>
      </c>
      <c r="E288" s="38">
        <v>432</v>
      </c>
      <c r="F288" s="252"/>
      <c r="G288" s="252"/>
      <c r="H288" s="252"/>
      <c r="I288" s="252"/>
      <c r="J288" s="248" t="s">
        <v>504</v>
      </c>
      <c r="K288" s="251">
        <f t="shared" si="52"/>
        <v>432</v>
      </c>
    </row>
    <row r="289" spans="1:11">
      <c r="A289" s="22"/>
      <c r="B289" s="234" t="s">
        <v>438</v>
      </c>
      <c r="C289" s="297" t="str">
        <f>VLOOKUP(B289,'PLANILHA ORÇAMENTARIA'!B:J,2,0)</f>
        <v>COMPLEMENTOS</v>
      </c>
      <c r="D289" s="236"/>
      <c r="E289" s="236"/>
      <c r="F289" s="237"/>
      <c r="G289" s="237"/>
      <c r="H289" s="237"/>
      <c r="I289" s="237"/>
      <c r="J289" s="235"/>
      <c r="K289" s="238"/>
    </row>
    <row r="290" spans="1:11" ht="38.25">
      <c r="B290" s="258" t="s">
        <v>441</v>
      </c>
      <c r="C290" s="255" t="str">
        <f>VLOOKUP(B290,'PLANILHA ORÇAMENTARIA'!B:J,3,0)</f>
        <v>Pintura à base de epoxi, marcas de referência Suvinil, Coral ou Novacor, em faixas com largura de 5cm, para demarcação de quadras de esportes</v>
      </c>
      <c r="D290" s="256" t="str">
        <f>VLOOKUP(B290,'PLANILHA ORÇAMENTARIA'!B:J,5,0)</f>
        <v>m</v>
      </c>
      <c r="E290" s="38"/>
      <c r="F290" s="252"/>
      <c r="G290" s="38">
        <v>241.54</v>
      </c>
      <c r="H290" s="252"/>
      <c r="I290" s="252"/>
      <c r="J290" s="248" t="s">
        <v>504</v>
      </c>
      <c r="K290" s="251">
        <f>G290</f>
        <v>241.54</v>
      </c>
    </row>
    <row r="291" spans="1:11" ht="25.5">
      <c r="B291" s="258" t="s">
        <v>442</v>
      </c>
      <c r="C291" s="255" t="str">
        <f>VLOOKUP(B291,'PLANILHA ORÇAMENTARIA'!B:J,3,0)</f>
        <v>Suporte para tabela de basquete de concreto armado Fck = 15MPa, inclusive forma, armação, lançamento e desforma</v>
      </c>
      <c r="D291" s="256" t="str">
        <f>VLOOKUP(B291,'PLANILHA ORÇAMENTARIA'!B:J,5,0)</f>
        <v>und</v>
      </c>
      <c r="E291" s="38">
        <v>2</v>
      </c>
      <c r="F291" s="252"/>
      <c r="G291" s="252"/>
      <c r="H291" s="252"/>
      <c r="I291" s="252"/>
      <c r="J291" s="248" t="s">
        <v>504</v>
      </c>
      <c r="K291" s="251">
        <f t="shared" ref="K291:K293" si="53">E291</f>
        <v>2</v>
      </c>
    </row>
    <row r="292" spans="1:11" ht="38.25">
      <c r="B292" s="258" t="s">
        <v>736</v>
      </c>
      <c r="C292" s="255" t="str">
        <f>VLOOKUP(B292,'PLANILHA ORÇAMENTARIA'!B:J,3,0)</f>
        <v>Conjunto de poste de voleibol de tubo de ferro galvanizado 3"e parte móvel de 21/2", inclusive carretilha,furo com tubo de ferro galvanizado de 31/2"e tampão de furo</v>
      </c>
      <c r="D292" s="256" t="str">
        <f>VLOOKUP(B292,'PLANILHA ORÇAMENTARIA'!B:J,5,0)</f>
        <v>und</v>
      </c>
      <c r="E292" s="38">
        <v>1</v>
      </c>
      <c r="F292" s="252"/>
      <c r="G292" s="252"/>
      <c r="H292" s="252"/>
      <c r="I292" s="252"/>
      <c r="J292" s="248" t="s">
        <v>504</v>
      </c>
      <c r="K292" s="251">
        <f t="shared" si="53"/>
        <v>1</v>
      </c>
    </row>
    <row r="293" spans="1:11" ht="25.5">
      <c r="B293" s="258" t="s">
        <v>737</v>
      </c>
      <c r="C293" s="255" t="str">
        <f>VLOOKUP(B293,'PLANILHA ORÇAMENTARIA'!B:J,3,0)</f>
        <v xml:space="preserve">Trave para futebol de salão de tubo de ferro galvanizado 3", com recuo, removível, dimensões oficiais 3x2m </v>
      </c>
      <c r="D293" s="256" t="str">
        <f>VLOOKUP(B293,'PLANILHA ORÇAMENTARIA'!B:J,5,0)</f>
        <v>und</v>
      </c>
      <c r="E293" s="38">
        <v>2</v>
      </c>
      <c r="F293" s="252"/>
      <c r="G293" s="252"/>
      <c r="H293" s="252"/>
      <c r="I293" s="252"/>
      <c r="J293" s="248" t="s">
        <v>504</v>
      </c>
      <c r="K293" s="251">
        <f t="shared" si="53"/>
        <v>2</v>
      </c>
    </row>
    <row r="294" spans="1:11">
      <c r="A294" s="22"/>
      <c r="B294" s="234">
        <v>22</v>
      </c>
      <c r="C294" s="297" t="str">
        <f>VLOOKUP(B294,'PLANILHA ORÇAMENTARIA'!B:J,2,0)</f>
        <v>SERVIÇOS COMPLEMENTARES</v>
      </c>
      <c r="D294" s="236"/>
      <c r="E294" s="236"/>
      <c r="F294" s="237"/>
      <c r="G294" s="237"/>
      <c r="H294" s="237"/>
      <c r="I294" s="237"/>
      <c r="J294" s="235"/>
      <c r="K294" s="238"/>
    </row>
    <row r="295" spans="1:11" ht="51">
      <c r="B295" s="258" t="s">
        <v>483</v>
      </c>
      <c r="C295" s="255" t="str">
        <f>VLOOKUP(B295,'PLANILHA ORÇAMENTARIA'!B:J,3,0)</f>
        <v>Muro de alvenaria de blocos cerâmicos 10x20x20cm, c/ pilares a cada 2 m, esp. 10cm e h=2.5m, revestido com chapisco, reboco e pintura acrílica a 2 demãos, incl. pilares, cintas e sapatas, empregando arg. Cimento cal e areia</v>
      </c>
      <c r="D295" s="256" t="str">
        <f>VLOOKUP(B295,'PLANILHA ORÇAMENTARIA'!B:J,5,0)</f>
        <v>m</v>
      </c>
      <c r="E295" s="192"/>
      <c r="F295" s="252"/>
      <c r="G295" s="192">
        <v>66</v>
      </c>
      <c r="H295" s="252"/>
      <c r="I295" s="252"/>
      <c r="J295" s="248" t="s">
        <v>504</v>
      </c>
      <c r="K295" s="251">
        <f>G295</f>
        <v>66</v>
      </c>
    </row>
    <row r="296" spans="1:11" ht="38.25">
      <c r="B296" s="258" t="s">
        <v>484</v>
      </c>
      <c r="C296" s="255" t="str">
        <f>VLOOKUP(B296,'PLANILHA ORÇAMENTARIA'!B:J,3,0)</f>
        <v>Fornecimento e assentamento de ladrilho hidráulico pastilhado, vermelho, dim. 20x20 cm, esp. 1.5cm, assentado com pasta de cimento colante, exclusive regularização e lastro</v>
      </c>
      <c r="D296" s="256" t="str">
        <f>VLOOKUP(B296,'PLANILHA ORÇAMENTARIA'!B:J,5,0)</f>
        <v>m²</v>
      </c>
      <c r="E296" s="192">
        <v>122</v>
      </c>
      <c r="F296" s="252"/>
      <c r="G296" s="252"/>
      <c r="H296" s="252"/>
      <c r="I296" s="252"/>
      <c r="J296" s="248" t="s">
        <v>504</v>
      </c>
      <c r="K296" s="251">
        <f t="shared" ref="K296:K302" si="54">E296</f>
        <v>122</v>
      </c>
    </row>
    <row r="297" spans="1:11" ht="25.5">
      <c r="B297" s="258" t="s">
        <v>485</v>
      </c>
      <c r="C297" s="255" t="str">
        <f>VLOOKUP(B297,'PLANILHA ORÇAMENTARIA'!B:J,3,0)</f>
        <v xml:space="preserve">Acabamento de perfil "U" em alumínio anodizado fosco 1/2" </v>
      </c>
      <c r="D297" s="256" t="str">
        <f>VLOOKUP(B297,'PLANILHA ORÇAMENTARIA'!B:J,5,0)</f>
        <v>m</v>
      </c>
      <c r="E297" s="192"/>
      <c r="F297" s="252"/>
      <c r="G297" s="192">
        <v>488.79</v>
      </c>
      <c r="H297" s="252"/>
      <c r="I297" s="252"/>
      <c r="J297" s="248" t="s">
        <v>504</v>
      </c>
      <c r="K297" s="251">
        <f>G297</f>
        <v>488.79</v>
      </c>
    </row>
    <row r="298" spans="1:11" ht="51">
      <c r="B298" s="258" t="s">
        <v>537</v>
      </c>
      <c r="C298" s="255" t="str">
        <f>VLOOKUP(B298,'PLANILHA ORÇAMENTARIA'!B:J,3,0)</f>
        <v>Quadro pincel novo, completo, de laminado melamínico alta pressão, "LOUSA" quadriculado, cor branco brilhante, linha Lousas, padrão F608 Brancoline, esp. 1mm, incl. requadro madeira 2.5 x 5.0 cm e porta pincel, dim. 3.95 x 1.29 m</v>
      </c>
      <c r="D298" s="256" t="str">
        <f>VLOOKUP(B298,'PLANILHA ORÇAMENTARIA'!B:J,5,0)</f>
        <v>und</v>
      </c>
      <c r="E298" s="192">
        <v>13</v>
      </c>
      <c r="F298" s="252"/>
      <c r="G298" s="252"/>
      <c r="H298" s="252"/>
      <c r="I298" s="252"/>
      <c r="J298" s="248" t="s">
        <v>504</v>
      </c>
      <c r="K298" s="251">
        <f t="shared" si="54"/>
        <v>13</v>
      </c>
    </row>
    <row r="299" spans="1:11" ht="25.5">
      <c r="B299" s="258" t="s">
        <v>538</v>
      </c>
      <c r="C299" s="255" t="str">
        <f>VLOOKUP(B299,'PLANILHA ORÇAMENTARIA'!B:J,3,0)</f>
        <v>Bicicletário em tubo de ferro galvanizado 1" e ferro liso 1/2", inclusive pintura, conforme projeto padrão SEDU</v>
      </c>
      <c r="D299" s="256" t="str">
        <f>VLOOKUP(B299,'PLANILHA ORÇAMENTARIA'!B:J,5,0)</f>
        <v>m</v>
      </c>
      <c r="E299" s="192"/>
      <c r="F299" s="252"/>
      <c r="G299" s="192">
        <v>8</v>
      </c>
      <c r="H299" s="252"/>
      <c r="I299" s="252"/>
      <c r="J299" s="248" t="s">
        <v>504</v>
      </c>
      <c r="K299" s="251">
        <f>G299</f>
        <v>8</v>
      </c>
    </row>
    <row r="300" spans="1:11" ht="38.25">
      <c r="B300" s="258" t="s">
        <v>539</v>
      </c>
      <c r="C300" s="255" t="str">
        <f>VLOOKUP(B300,'PLANILHA ORÇAMENTARIA'!B:J,3,0)</f>
        <v>Gradil H = 1.90m padrão SEDU em tudo de FG 2" e barra chata de 11/2"x1/4", para fixação sobre mureta conforme projeto, exclusive a mureta.</v>
      </c>
      <c r="D300" s="256" t="str">
        <f>VLOOKUP(B300,'PLANILHA ORÇAMENTARIA'!B:J,5,0)</f>
        <v>m</v>
      </c>
      <c r="E300" s="192"/>
      <c r="F300" s="252"/>
      <c r="G300" s="192">
        <v>28</v>
      </c>
      <c r="H300" s="252"/>
      <c r="I300" s="252"/>
      <c r="J300" s="248" t="s">
        <v>504</v>
      </c>
      <c r="K300" s="251">
        <f>G300</f>
        <v>28</v>
      </c>
    </row>
    <row r="301" spans="1:11" ht="51">
      <c r="B301" s="258" t="s">
        <v>540</v>
      </c>
      <c r="C301" s="255" t="str">
        <f>VLOOKUP(B301,'PLANILHA ORÇAMENTARIA'!B:J,3,0)</f>
        <v>Mastro metálico em tubo de ferro galvanizado de 3" com altura de 6m, equipado com roldana fixado em prisma de concreto de (30x30x50)cm, inclusive este, exclusive pintura.  Fornecimento e instalação.</v>
      </c>
      <c r="D301" s="256" t="str">
        <f>VLOOKUP(B301,'PLANILHA ORÇAMENTARIA'!B:J,5,0)</f>
        <v>und</v>
      </c>
      <c r="E301" s="192">
        <v>3</v>
      </c>
      <c r="F301" s="252"/>
      <c r="G301" s="252"/>
      <c r="H301" s="252"/>
      <c r="I301" s="252"/>
      <c r="J301" s="248" t="s">
        <v>504</v>
      </c>
      <c r="K301" s="251">
        <f t="shared" si="54"/>
        <v>3</v>
      </c>
    </row>
    <row r="302" spans="1:11" ht="38.25">
      <c r="B302" s="258" t="s">
        <v>541</v>
      </c>
      <c r="C302" s="255" t="str">
        <f>VLOOKUP(B302,'PLANILHA ORÇAMENTARIA'!B:J,3,0)</f>
        <v>Placa para inauguração de obra em alumínio polido e=4mm, dimensões 40 x 50 cm, gravação em baixo relevo, inclusive pintura e fixação</v>
      </c>
      <c r="D302" s="256" t="str">
        <f>VLOOKUP(B302,'PLANILHA ORÇAMENTARIA'!B:J,5,0)</f>
        <v>und</v>
      </c>
      <c r="E302" s="192">
        <v>1</v>
      </c>
      <c r="F302" s="252"/>
      <c r="G302" s="252"/>
      <c r="H302" s="252"/>
      <c r="I302" s="252"/>
      <c r="J302" s="248"/>
      <c r="K302" s="251">
        <f t="shared" si="54"/>
        <v>1</v>
      </c>
    </row>
    <row r="303" spans="1:11" ht="38.25">
      <c r="B303" s="258" t="s">
        <v>662</v>
      </c>
      <c r="C303" s="255" t="str">
        <f>VLOOKUP(B303,'PLANILHA ORÇAMENTARIA'!B:J,3,0)</f>
        <v>Revestimento metálico em alumínio composto (Alucobond ou similar) dobrado, e=0,3mm, na cor cobre, 1,00 nx 1,00m, exclusive estrutura metálica - fornecimento e montagem</v>
      </c>
      <c r="D303" s="256" t="str">
        <f>VLOOKUP(B303,'PLANILHA ORÇAMENTARIA'!B:J,5,0)</f>
        <v>m²</v>
      </c>
      <c r="E303" s="192">
        <v>1</v>
      </c>
      <c r="F303" s="252">
        <v>3</v>
      </c>
      <c r="G303" s="252"/>
      <c r="H303" s="252">
        <v>1.5</v>
      </c>
      <c r="I303" s="252"/>
      <c r="J303" s="248"/>
      <c r="K303" s="251">
        <f>E303*F303*H303</f>
        <v>4.5</v>
      </c>
    </row>
    <row r="304" spans="1:11">
      <c r="B304" s="258" t="s">
        <v>774</v>
      </c>
      <c r="C304" s="255" t="str">
        <f>VLOOKUP(B304,'PLANILHA ORÇAMENTARIA'!B:J,3,0)</f>
        <v>Plotagem de adesivo vinil em letreiro (c/aplicação)</v>
      </c>
      <c r="D304" s="256" t="str">
        <f>VLOOKUP(B304,'PLANILHA ORÇAMENTARIA'!B:J,5,0)</f>
        <v>m²</v>
      </c>
      <c r="E304" s="192">
        <v>1</v>
      </c>
      <c r="F304" s="252">
        <v>3</v>
      </c>
      <c r="G304" s="252"/>
      <c r="H304" s="252">
        <v>1.5</v>
      </c>
      <c r="I304" s="252"/>
      <c r="J304" s="248"/>
      <c r="K304" s="251">
        <f>E304*F304*H304</f>
        <v>4.5</v>
      </c>
    </row>
  </sheetData>
  <mergeCells count="2">
    <mergeCell ref="B2:K8"/>
    <mergeCell ref="B14:K14"/>
  </mergeCells>
  <phoneticPr fontId="39" type="noConversion"/>
  <pageMargins left="0.51181102362204722" right="0.51181102362204722" top="0.78740157480314965" bottom="0.78740157480314965" header="0.31496062992125984" footer="0.31496062992125984"/>
  <pageSetup paperSize="9" scale="45" orientation="portrait" r:id="rId1"/>
  <rowBreaks count="1" manualBreakCount="1">
    <brk id="262" max="1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  <outlinePr summaryBelow="0"/>
    <pageSetUpPr fitToPage="1"/>
  </sheetPr>
  <dimension ref="B1:T62"/>
  <sheetViews>
    <sheetView view="pageBreakPreview" zoomScaleNormal="115" zoomScaleSheetLayoutView="100" workbookViewId="0">
      <selection activeCell="M10" sqref="M10"/>
    </sheetView>
  </sheetViews>
  <sheetFormatPr defaultColWidth="9.140625" defaultRowHeight="12.75"/>
  <cols>
    <col min="1" max="1" width="3.140625" style="10" customWidth="1"/>
    <col min="2" max="2" width="9.28515625" style="10" customWidth="1"/>
    <col min="3" max="3" width="34.7109375" style="10" customWidth="1"/>
    <col min="4" max="4" width="19.85546875" style="136" customWidth="1"/>
    <col min="5" max="8" width="11.85546875" style="10" customWidth="1"/>
    <col min="9" max="11" width="11.7109375" style="10" customWidth="1"/>
    <col min="12" max="12" width="11.85546875" style="10" customWidth="1"/>
    <col min="13" max="15" width="11.7109375" style="10" customWidth="1"/>
    <col min="16" max="16" width="11.85546875" style="10" customWidth="1"/>
    <col min="17" max="17" width="11.7109375" style="10" customWidth="1"/>
    <col min="18" max="18" width="11.85546875" style="10" customWidth="1"/>
    <col min="19" max="19" width="13.28515625" style="10" customWidth="1"/>
    <col min="20" max="20" width="15.28515625" style="10" bestFit="1" customWidth="1"/>
    <col min="21" max="16384" width="9.140625" style="10"/>
  </cols>
  <sheetData>
    <row r="1" spans="2:20" ht="13.5" thickBot="1"/>
    <row r="2" spans="2:20">
      <c r="B2" s="326" t="s">
        <v>170</v>
      </c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8"/>
    </row>
    <row r="3" spans="2:20">
      <c r="B3" s="329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1"/>
    </row>
    <row r="4" spans="2:20">
      <c r="B4" s="329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1"/>
    </row>
    <row r="5" spans="2:20">
      <c r="B5" s="329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1"/>
    </row>
    <row r="6" spans="2:20">
      <c r="B6" s="329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1"/>
    </row>
    <row r="7" spans="2:20">
      <c r="B7" s="329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1"/>
    </row>
    <row r="8" spans="2:20" ht="13.5" thickBot="1">
      <c r="B8" s="332"/>
      <c r="C8" s="333"/>
      <c r="D8" s="333"/>
      <c r="E8" s="333"/>
      <c r="F8" s="333"/>
      <c r="G8" s="333"/>
      <c r="H8" s="333"/>
      <c r="I8" s="333"/>
      <c r="J8" s="333"/>
      <c r="K8" s="333"/>
      <c r="L8" s="333"/>
      <c r="M8" s="333"/>
      <c r="N8" s="333"/>
      <c r="O8" s="333"/>
      <c r="P8" s="333"/>
      <c r="Q8" s="333"/>
      <c r="R8" s="333"/>
      <c r="S8" s="334"/>
    </row>
    <row r="9" spans="2:20" ht="13.5" thickBot="1">
      <c r="B9" s="11"/>
      <c r="C9" s="11"/>
      <c r="D9" s="137"/>
      <c r="E9" s="13"/>
      <c r="F9" s="6"/>
      <c r="G9" s="11"/>
      <c r="H9" s="11"/>
      <c r="I9" s="11"/>
      <c r="J9" s="11"/>
      <c r="K9" s="11"/>
      <c r="L9" s="28"/>
      <c r="M9" s="11"/>
      <c r="N9" s="11"/>
      <c r="O9" s="11"/>
      <c r="P9" s="28"/>
      <c r="Q9" s="11"/>
      <c r="R9" s="28"/>
      <c r="S9" s="28"/>
    </row>
    <row r="10" spans="2:20" ht="15">
      <c r="B10" s="1" t="s">
        <v>771</v>
      </c>
      <c r="C10" s="43"/>
      <c r="D10" s="138"/>
      <c r="E10" s="2"/>
      <c r="F10" s="3"/>
      <c r="G10" s="15"/>
      <c r="H10" s="16"/>
      <c r="I10" s="3"/>
      <c r="J10" s="3"/>
      <c r="K10" s="3"/>
      <c r="L10" s="17"/>
      <c r="M10" s="3"/>
      <c r="N10" s="3"/>
      <c r="O10" s="3"/>
      <c r="P10" s="17"/>
      <c r="Q10" s="3"/>
      <c r="R10" s="17"/>
      <c r="S10" s="18"/>
    </row>
    <row r="11" spans="2:20" ht="15">
      <c r="B11" s="4" t="s">
        <v>171</v>
      </c>
      <c r="C11" s="46"/>
      <c r="D11" s="139"/>
      <c r="E11" s="39"/>
      <c r="F11" s="5"/>
      <c r="G11" s="20"/>
      <c r="H11" s="21"/>
      <c r="I11" s="5"/>
      <c r="J11" s="5"/>
      <c r="K11" s="5"/>
      <c r="L11" s="22"/>
      <c r="M11" s="5"/>
      <c r="N11" s="5"/>
      <c r="O11" s="5"/>
      <c r="P11" s="22"/>
      <c r="Q11" s="5"/>
      <c r="R11" s="22"/>
      <c r="S11" s="23"/>
    </row>
    <row r="12" spans="2:20" ht="15.75" thickBot="1">
      <c r="B12" s="7" t="s">
        <v>657</v>
      </c>
      <c r="C12" s="49"/>
      <c r="D12" s="140"/>
      <c r="E12" s="8"/>
      <c r="F12" s="9"/>
      <c r="G12" s="25"/>
      <c r="H12" s="24"/>
      <c r="I12" s="9"/>
      <c r="J12" s="9"/>
      <c r="K12" s="9"/>
      <c r="L12" s="26"/>
      <c r="M12" s="9"/>
      <c r="N12" s="9"/>
      <c r="O12" s="9"/>
      <c r="P12" s="26"/>
      <c r="Q12" s="9"/>
      <c r="R12" s="26"/>
      <c r="S12" s="27"/>
    </row>
    <row r="13" spans="2:20" ht="13.5" thickBot="1">
      <c r="B13" s="19"/>
      <c r="C13" s="19"/>
      <c r="D13" s="139"/>
      <c r="E13" s="39"/>
      <c r="F13" s="5"/>
      <c r="G13" s="20"/>
      <c r="H13" s="19"/>
      <c r="I13" s="5"/>
      <c r="J13" s="5"/>
      <c r="K13" s="5"/>
      <c r="L13" s="22"/>
      <c r="M13" s="5"/>
      <c r="N13" s="5"/>
      <c r="O13" s="5"/>
      <c r="P13" s="22"/>
      <c r="Q13" s="5"/>
      <c r="R13" s="22"/>
      <c r="S13" s="22"/>
    </row>
    <row r="14" spans="2:20" ht="13.5" thickBot="1">
      <c r="B14" s="365" t="s">
        <v>16</v>
      </c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  <c r="Q14" s="366"/>
      <c r="R14" s="366"/>
      <c r="S14" s="367"/>
    </row>
    <row r="15" spans="2:20" ht="17.100000000000001" customHeight="1">
      <c r="B15" s="29" t="s">
        <v>17</v>
      </c>
      <c r="C15" s="29" t="s">
        <v>18</v>
      </c>
      <c r="D15" s="141" t="s">
        <v>19</v>
      </c>
      <c r="E15" s="29" t="s">
        <v>193</v>
      </c>
      <c r="F15" s="29" t="s">
        <v>194</v>
      </c>
      <c r="G15" s="29" t="s">
        <v>195</v>
      </c>
      <c r="H15" s="29" t="s">
        <v>196</v>
      </c>
      <c r="I15" s="29" t="s">
        <v>197</v>
      </c>
      <c r="J15" s="135" t="s">
        <v>198</v>
      </c>
      <c r="K15" s="135" t="s">
        <v>199</v>
      </c>
      <c r="L15" s="135" t="s">
        <v>200</v>
      </c>
      <c r="M15" s="135" t="s">
        <v>226</v>
      </c>
      <c r="N15" s="135" t="s">
        <v>227</v>
      </c>
      <c r="O15" s="135" t="s">
        <v>486</v>
      </c>
      <c r="P15" s="135" t="s">
        <v>487</v>
      </c>
      <c r="Q15" s="135" t="s">
        <v>739</v>
      </c>
      <c r="R15" s="135" t="s">
        <v>488</v>
      </c>
      <c r="S15" s="29" t="s">
        <v>20</v>
      </c>
    </row>
    <row r="16" spans="2:20" ht="12" customHeight="1">
      <c r="B16" s="352">
        <v>1</v>
      </c>
      <c r="C16" s="354" t="str">
        <f>'PLANILHA ORÇAMENTARIA'!C18:D18</f>
        <v>SERVIÇOS PRELIMINARES</v>
      </c>
      <c r="D16" s="356">
        <f>'PLANILHA ORÇAMENTARIA'!J18</f>
        <v>223138.74</v>
      </c>
      <c r="E16" s="57">
        <v>1</v>
      </c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>
        <f t="shared" ref="S16:S59" si="0">SUM(E16:R16)</f>
        <v>1</v>
      </c>
      <c r="T16" s="300"/>
    </row>
    <row r="17" spans="2:20" ht="12.95" customHeight="1">
      <c r="B17" s="353"/>
      <c r="C17" s="355"/>
      <c r="D17" s="357"/>
      <c r="E17" s="58">
        <f>($D16*E16)</f>
        <v>223138.74</v>
      </c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>
        <f t="shared" si="0"/>
        <v>223138.74</v>
      </c>
      <c r="T17" s="300"/>
    </row>
    <row r="18" spans="2:20" ht="12" customHeight="1">
      <c r="B18" s="352">
        <v>2</v>
      </c>
      <c r="C18" s="354" t="str">
        <f>'PLANILHA ORÇAMENTARIA'!C45:D45</f>
        <v>MOVIMENTAÇÃO DE TERRA</v>
      </c>
      <c r="D18" s="356">
        <f>'PLANILHA ORÇAMENTARIA'!J45</f>
        <v>28429.22</v>
      </c>
      <c r="E18" s="57">
        <v>0.5</v>
      </c>
      <c r="F18" s="57">
        <v>0.5</v>
      </c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>
        <f t="shared" si="0"/>
        <v>1</v>
      </c>
      <c r="T18" s="300"/>
    </row>
    <row r="19" spans="2:20" ht="12.95" customHeight="1">
      <c r="B19" s="353"/>
      <c r="C19" s="355"/>
      <c r="D19" s="357"/>
      <c r="E19" s="58">
        <f>($D18*E18)</f>
        <v>14214.61</v>
      </c>
      <c r="F19" s="58">
        <f t="shared" ref="F19" si="1">($D18*F18)</f>
        <v>14214.61</v>
      </c>
      <c r="G19" s="58"/>
      <c r="H19" s="58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>
        <f t="shared" si="0"/>
        <v>28429.22</v>
      </c>
      <c r="T19" s="300"/>
    </row>
    <row r="20" spans="2:20" ht="12" customHeight="1">
      <c r="B20" s="352">
        <v>3</v>
      </c>
      <c r="C20" s="354" t="str">
        <f>'PLANILHA ORÇAMENTARIA'!C49:D49</f>
        <v>INFRAESTRUTURA</v>
      </c>
      <c r="D20" s="356">
        <f>'PLANILHA ORÇAMENTARIA'!J49</f>
        <v>106357.48000000001</v>
      </c>
      <c r="E20" s="57"/>
      <c r="F20" s="57">
        <v>0.5</v>
      </c>
      <c r="G20" s="57">
        <v>0.5</v>
      </c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>
        <f t="shared" si="0"/>
        <v>1</v>
      </c>
      <c r="T20" s="300"/>
    </row>
    <row r="21" spans="2:20" ht="12.95" customHeight="1">
      <c r="B21" s="353"/>
      <c r="C21" s="355"/>
      <c r="D21" s="357"/>
      <c r="E21" s="58"/>
      <c r="F21" s="58">
        <f>($D20*F20)</f>
        <v>53178.740000000005</v>
      </c>
      <c r="G21" s="58">
        <f>($D20*G20)</f>
        <v>53178.740000000005</v>
      </c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>
        <f t="shared" si="0"/>
        <v>106357.48000000001</v>
      </c>
      <c r="T21" s="300"/>
    </row>
    <row r="22" spans="2:20" ht="12" customHeight="1">
      <c r="B22" s="352">
        <v>4</v>
      </c>
      <c r="C22" s="354" t="str">
        <f>'PLANILHA ORÇAMENTARIA'!C54:D54</f>
        <v>SUPERESTRUTURA</v>
      </c>
      <c r="D22" s="356">
        <f>'PLANILHA ORÇAMENTARIA'!J54</f>
        <v>440128.39</v>
      </c>
      <c r="E22" s="57"/>
      <c r="F22" s="57"/>
      <c r="G22" s="57">
        <v>0.5</v>
      </c>
      <c r="H22" s="57">
        <v>0.5</v>
      </c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>
        <f t="shared" si="0"/>
        <v>1</v>
      </c>
      <c r="T22" s="300"/>
    </row>
    <row r="23" spans="2:20" ht="12.95" customHeight="1">
      <c r="B23" s="353"/>
      <c r="C23" s="355"/>
      <c r="D23" s="357"/>
      <c r="E23" s="58"/>
      <c r="F23" s="58"/>
      <c r="G23" s="58">
        <f t="shared" ref="G23:H23" si="2">($D22*G22)</f>
        <v>220064.19500000001</v>
      </c>
      <c r="H23" s="58">
        <f t="shared" si="2"/>
        <v>220064.19500000001</v>
      </c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>
        <f t="shared" si="0"/>
        <v>440128.39</v>
      </c>
      <c r="T23" s="300"/>
    </row>
    <row r="24" spans="2:20" ht="12" customHeight="1">
      <c r="B24" s="352">
        <v>5</v>
      </c>
      <c r="C24" s="358" t="str">
        <f>'PLANILHA ORÇAMENTARIA'!C59:D59</f>
        <v>SISTEMA DE VEDAÇÃO VERTICAL</v>
      </c>
      <c r="D24" s="356">
        <f>'PLANILHA ORÇAMENTARIA'!J59</f>
        <v>124405.76999999999</v>
      </c>
      <c r="E24" s="57"/>
      <c r="F24" s="57"/>
      <c r="G24" s="57"/>
      <c r="H24" s="57">
        <v>0.4</v>
      </c>
      <c r="I24" s="57">
        <v>0.6</v>
      </c>
      <c r="J24" s="57"/>
      <c r="K24" s="57"/>
      <c r="L24" s="57"/>
      <c r="M24" s="57"/>
      <c r="N24" s="57"/>
      <c r="O24" s="57"/>
      <c r="P24" s="57"/>
      <c r="Q24" s="57"/>
      <c r="R24" s="57"/>
      <c r="S24" s="57">
        <f t="shared" si="0"/>
        <v>1</v>
      </c>
      <c r="T24" s="300"/>
    </row>
    <row r="25" spans="2:20" ht="12.95" customHeight="1">
      <c r="B25" s="353"/>
      <c r="C25" s="355"/>
      <c r="D25" s="357"/>
      <c r="E25" s="58"/>
      <c r="F25" s="58"/>
      <c r="G25" s="58"/>
      <c r="H25" s="58">
        <f t="shared" ref="H25:I25" si="3">($D24*H24)</f>
        <v>49762.307999999997</v>
      </c>
      <c r="I25" s="58">
        <f t="shared" si="3"/>
        <v>74643.461999999985</v>
      </c>
      <c r="J25" s="58"/>
      <c r="K25" s="58"/>
      <c r="L25" s="58"/>
      <c r="M25" s="58"/>
      <c r="N25" s="58"/>
      <c r="O25" s="58"/>
      <c r="P25" s="58"/>
      <c r="Q25" s="58"/>
      <c r="R25" s="58"/>
      <c r="S25" s="58">
        <f t="shared" si="0"/>
        <v>124405.76999999999</v>
      </c>
      <c r="T25" s="300"/>
    </row>
    <row r="26" spans="2:20" ht="12" customHeight="1">
      <c r="B26" s="352">
        <v>6</v>
      </c>
      <c r="C26" s="354" t="str">
        <f>'PLANILHA ORÇAMENTARIA'!C63:D63</f>
        <v>ESQUADRIAS</v>
      </c>
      <c r="D26" s="356">
        <f>'PLANILHA ORÇAMENTARIA'!J63</f>
        <v>164150.94999999998</v>
      </c>
      <c r="E26" s="57"/>
      <c r="F26" s="57"/>
      <c r="G26" s="57"/>
      <c r="H26" s="57"/>
      <c r="I26" s="57"/>
      <c r="J26" s="57"/>
      <c r="K26" s="57">
        <v>0.2</v>
      </c>
      <c r="L26" s="57">
        <v>0.3</v>
      </c>
      <c r="M26" s="57">
        <v>0.5</v>
      </c>
      <c r="N26" s="57"/>
      <c r="O26" s="57"/>
      <c r="P26" s="57"/>
      <c r="Q26" s="57"/>
      <c r="R26" s="57"/>
      <c r="S26" s="57">
        <f t="shared" si="0"/>
        <v>1</v>
      </c>
      <c r="T26" s="300"/>
    </row>
    <row r="27" spans="2:20" ht="12.95" customHeight="1">
      <c r="B27" s="353"/>
      <c r="C27" s="355"/>
      <c r="D27" s="357"/>
      <c r="E27" s="58"/>
      <c r="F27" s="58"/>
      <c r="G27" s="58"/>
      <c r="H27" s="58"/>
      <c r="I27" s="58"/>
      <c r="J27" s="58"/>
      <c r="K27" s="58">
        <f t="shared" ref="K27:L27" si="4">$D26*K26</f>
        <v>32830.189999999995</v>
      </c>
      <c r="L27" s="58">
        <f t="shared" si="4"/>
        <v>49245.284999999996</v>
      </c>
      <c r="M27" s="58">
        <f>$D26*M26</f>
        <v>82075.474999999991</v>
      </c>
      <c r="N27" s="58"/>
      <c r="O27" s="58"/>
      <c r="P27" s="58"/>
      <c r="Q27" s="58"/>
      <c r="R27" s="58"/>
      <c r="S27" s="58">
        <f t="shared" si="0"/>
        <v>164150.94999999998</v>
      </c>
      <c r="T27" s="300"/>
    </row>
    <row r="28" spans="2:20" ht="12" customHeight="1">
      <c r="B28" s="352">
        <v>7</v>
      </c>
      <c r="C28" s="354" t="str">
        <f>'PLANILHA ORÇAMENTARIA'!C80:D80</f>
        <v>COBERTURA</v>
      </c>
      <c r="D28" s="356">
        <f>'PLANILHA ORÇAMENTARIA'!J80</f>
        <v>689376.67</v>
      </c>
      <c r="E28" s="57"/>
      <c r="F28" s="57"/>
      <c r="G28" s="57"/>
      <c r="H28" s="57"/>
      <c r="I28" s="57">
        <v>0.3</v>
      </c>
      <c r="J28" s="57">
        <v>0.4</v>
      </c>
      <c r="K28" s="57">
        <v>0.3</v>
      </c>
      <c r="L28" s="57"/>
      <c r="M28" s="57"/>
      <c r="N28" s="57"/>
      <c r="O28" s="57"/>
      <c r="P28" s="57"/>
      <c r="Q28" s="57"/>
      <c r="R28" s="57"/>
      <c r="S28" s="57">
        <f t="shared" si="0"/>
        <v>1</v>
      </c>
      <c r="T28" s="300"/>
    </row>
    <row r="29" spans="2:20" ht="12.95" customHeight="1">
      <c r="B29" s="353"/>
      <c r="C29" s="355"/>
      <c r="D29" s="357"/>
      <c r="E29" s="58"/>
      <c r="F29" s="58"/>
      <c r="G29" s="58"/>
      <c r="H29" s="58"/>
      <c r="I29" s="58">
        <f t="shared" ref="I29:K29" si="5">($D28*I28)</f>
        <v>206813.00100000002</v>
      </c>
      <c r="J29" s="58">
        <f t="shared" si="5"/>
        <v>275750.66800000001</v>
      </c>
      <c r="K29" s="58">
        <f t="shared" si="5"/>
        <v>206813.00100000002</v>
      </c>
      <c r="L29" s="58"/>
      <c r="M29" s="58"/>
      <c r="N29" s="58"/>
      <c r="O29" s="58"/>
      <c r="P29" s="58"/>
      <c r="Q29" s="58"/>
      <c r="R29" s="58"/>
      <c r="S29" s="58">
        <f t="shared" si="0"/>
        <v>689376.67</v>
      </c>
      <c r="T29" s="300"/>
    </row>
    <row r="30" spans="2:20" ht="12" customHeight="1">
      <c r="B30" s="352">
        <v>8</v>
      </c>
      <c r="C30" s="354" t="str">
        <f>'PLANILHA ORÇAMENTARIA'!C88:D88</f>
        <v>REVESTIMENTOS INTERNOS E EXTERNOS</v>
      </c>
      <c r="D30" s="356">
        <f>'PLANILHA ORÇAMENTARIA'!J88</f>
        <v>548273.44999999995</v>
      </c>
      <c r="E30" s="57"/>
      <c r="F30" s="57"/>
      <c r="G30" s="57"/>
      <c r="H30" s="57"/>
      <c r="I30" s="57">
        <v>0.2</v>
      </c>
      <c r="J30" s="57">
        <v>0.2</v>
      </c>
      <c r="K30" s="57">
        <v>0.2</v>
      </c>
      <c r="L30" s="57">
        <v>0.2</v>
      </c>
      <c r="M30" s="57">
        <v>0.2</v>
      </c>
      <c r="N30" s="57"/>
      <c r="O30" s="57"/>
      <c r="P30" s="57"/>
      <c r="Q30" s="57"/>
      <c r="R30" s="57"/>
      <c r="S30" s="57">
        <f t="shared" si="0"/>
        <v>1</v>
      </c>
      <c r="T30" s="300"/>
    </row>
    <row r="31" spans="2:20" ht="12.95" customHeight="1">
      <c r="B31" s="353"/>
      <c r="C31" s="355"/>
      <c r="D31" s="357"/>
      <c r="E31" s="58"/>
      <c r="F31" s="58"/>
      <c r="G31" s="58"/>
      <c r="H31" s="58"/>
      <c r="I31" s="58">
        <f t="shared" ref="I31:M31" si="6">($D30*I30)</f>
        <v>109654.69</v>
      </c>
      <c r="J31" s="58">
        <f t="shared" si="6"/>
        <v>109654.69</v>
      </c>
      <c r="K31" s="58">
        <f t="shared" si="6"/>
        <v>109654.69</v>
      </c>
      <c r="L31" s="58">
        <f t="shared" si="6"/>
        <v>109654.69</v>
      </c>
      <c r="M31" s="58">
        <f t="shared" si="6"/>
        <v>109654.69</v>
      </c>
      <c r="N31" s="58"/>
      <c r="O31" s="58"/>
      <c r="P31" s="58"/>
      <c r="Q31" s="58"/>
      <c r="R31" s="58"/>
      <c r="S31" s="58">
        <f t="shared" si="0"/>
        <v>548273.44999999995</v>
      </c>
      <c r="T31" s="300"/>
    </row>
    <row r="32" spans="2:20" ht="12" customHeight="1">
      <c r="B32" s="352">
        <v>9</v>
      </c>
      <c r="C32" s="354" t="str">
        <f>'PLANILHA ORÇAMENTARIA'!C95:D95</f>
        <v>SISTEMAS DE PISOS</v>
      </c>
      <c r="D32" s="356">
        <f>'PLANILHA ORÇAMENTARIA'!J95</f>
        <v>536321.1</v>
      </c>
      <c r="E32" s="57"/>
      <c r="F32" s="57"/>
      <c r="G32" s="57"/>
      <c r="H32" s="57"/>
      <c r="I32" s="57">
        <v>0.25</v>
      </c>
      <c r="J32" s="57">
        <v>0.25</v>
      </c>
      <c r="K32" s="57">
        <v>0.25</v>
      </c>
      <c r="L32" s="57">
        <v>0.25</v>
      </c>
      <c r="M32" s="57"/>
      <c r="N32" s="57"/>
      <c r="O32" s="57"/>
      <c r="P32" s="57"/>
      <c r="Q32" s="57"/>
      <c r="R32" s="57"/>
      <c r="S32" s="57">
        <f t="shared" ref="S32:S39" si="7">SUM(E32:R32)</f>
        <v>1</v>
      </c>
      <c r="T32" s="300"/>
    </row>
    <row r="33" spans="2:20" ht="12.95" customHeight="1">
      <c r="B33" s="353"/>
      <c r="C33" s="355"/>
      <c r="D33" s="357"/>
      <c r="E33" s="58"/>
      <c r="F33" s="58"/>
      <c r="G33" s="58"/>
      <c r="H33" s="58"/>
      <c r="I33" s="58">
        <f t="shared" ref="I33" si="8">($D32*I32)</f>
        <v>134080.27499999999</v>
      </c>
      <c r="J33" s="58">
        <f>($D32*J32)</f>
        <v>134080.27499999999</v>
      </c>
      <c r="K33" s="58">
        <f>($D32*K32)</f>
        <v>134080.27499999999</v>
      </c>
      <c r="L33" s="58">
        <f>($D32*L32)</f>
        <v>134080.27499999999</v>
      </c>
      <c r="M33" s="58"/>
      <c r="N33" s="58"/>
      <c r="O33" s="58"/>
      <c r="P33" s="58"/>
      <c r="Q33" s="58"/>
      <c r="R33" s="58"/>
      <c r="S33" s="58">
        <f t="shared" si="7"/>
        <v>536321.1</v>
      </c>
      <c r="T33" s="300"/>
    </row>
    <row r="34" spans="2:20" ht="12" customHeight="1">
      <c r="B34" s="352">
        <v>10</v>
      </c>
      <c r="C34" s="354" t="str">
        <f>'PLANILHA ORÇAMENTARIA'!C109:D109</f>
        <v>PINTURAS E ACABAMENTOS</v>
      </c>
      <c r="D34" s="356">
        <f>'PLANILHA ORÇAMENTARIA'!J109</f>
        <v>190744.18</v>
      </c>
      <c r="E34" s="57"/>
      <c r="F34" s="57"/>
      <c r="G34" s="57"/>
      <c r="H34" s="57"/>
      <c r="I34" s="57"/>
      <c r="J34" s="57"/>
      <c r="K34" s="57"/>
      <c r="L34" s="57"/>
      <c r="M34" s="57">
        <v>0.25</v>
      </c>
      <c r="N34" s="57">
        <v>0.25</v>
      </c>
      <c r="O34" s="57">
        <v>0.25</v>
      </c>
      <c r="P34" s="57">
        <v>0.25</v>
      </c>
      <c r="Q34" s="57"/>
      <c r="R34" s="57"/>
      <c r="S34" s="57">
        <f t="shared" si="7"/>
        <v>1</v>
      </c>
      <c r="T34" s="300"/>
    </row>
    <row r="35" spans="2:20" ht="12.95" customHeight="1">
      <c r="B35" s="353"/>
      <c r="C35" s="355"/>
      <c r="D35" s="357"/>
      <c r="E35" s="58"/>
      <c r="F35" s="58"/>
      <c r="G35" s="58"/>
      <c r="H35" s="58"/>
      <c r="I35" s="58"/>
      <c r="J35" s="58"/>
      <c r="K35" s="58"/>
      <c r="L35" s="58"/>
      <c r="M35" s="58">
        <f t="shared" ref="M35:O35" si="9">$D34*M34</f>
        <v>47686.044999999998</v>
      </c>
      <c r="N35" s="58">
        <f t="shared" si="9"/>
        <v>47686.044999999998</v>
      </c>
      <c r="O35" s="58">
        <f t="shared" si="9"/>
        <v>47686.044999999998</v>
      </c>
      <c r="P35" s="58">
        <f>$D34*P34</f>
        <v>47686.044999999998</v>
      </c>
      <c r="Q35" s="58"/>
      <c r="R35" s="58"/>
      <c r="S35" s="58">
        <f t="shared" si="7"/>
        <v>190744.18</v>
      </c>
      <c r="T35" s="300"/>
    </row>
    <row r="36" spans="2:20" ht="12" customHeight="1">
      <c r="B36" s="352">
        <v>11</v>
      </c>
      <c r="C36" s="354" t="str">
        <f>'PLANILHA ORÇAMENTARIA'!C114:D114</f>
        <v>INSTALAÇÃO HIDRAULICA</v>
      </c>
      <c r="D36" s="356">
        <f>'PLANILHA ORÇAMENTARIA'!J114</f>
        <v>146453.14000000001</v>
      </c>
      <c r="E36" s="57"/>
      <c r="F36" s="57"/>
      <c r="G36" s="57"/>
      <c r="H36" s="57"/>
      <c r="I36" s="57"/>
      <c r="J36" s="57"/>
      <c r="K36" s="57"/>
      <c r="L36" s="57">
        <v>0.4</v>
      </c>
      <c r="M36" s="57">
        <v>0.3</v>
      </c>
      <c r="N36" s="57">
        <v>0.3</v>
      </c>
      <c r="O36" s="57"/>
      <c r="P36" s="57"/>
      <c r="Q36" s="57"/>
      <c r="R36" s="57"/>
      <c r="S36" s="57">
        <f t="shared" si="7"/>
        <v>1</v>
      </c>
      <c r="T36" s="300"/>
    </row>
    <row r="37" spans="2:20" ht="12.95" customHeight="1">
      <c r="B37" s="353"/>
      <c r="C37" s="355"/>
      <c r="D37" s="357"/>
      <c r="E37" s="58"/>
      <c r="F37" s="58"/>
      <c r="G37" s="58"/>
      <c r="H37" s="58"/>
      <c r="I37" s="58"/>
      <c r="J37" s="58"/>
      <c r="K37" s="58"/>
      <c r="L37" s="58">
        <f t="shared" ref="L37:R47" si="10">ROUND($D36*L36,2)</f>
        <v>58581.26</v>
      </c>
      <c r="M37" s="58">
        <f t="shared" si="10"/>
        <v>43935.94</v>
      </c>
      <c r="N37" s="58">
        <f t="shared" si="10"/>
        <v>43935.94</v>
      </c>
      <c r="O37" s="58"/>
      <c r="P37" s="58"/>
      <c r="Q37" s="58"/>
      <c r="R37" s="58"/>
      <c r="S37" s="58">
        <f t="shared" si="7"/>
        <v>146453.14000000001</v>
      </c>
      <c r="T37" s="300"/>
    </row>
    <row r="38" spans="2:20" ht="12" customHeight="1">
      <c r="B38" s="352">
        <v>12</v>
      </c>
      <c r="C38" s="354" t="str">
        <f>'PLANILHA ORÇAMENTARIA'!C134:D134</f>
        <v>DRENAGEM DE AGUAS PLUVIAIS</v>
      </c>
      <c r="D38" s="356">
        <f>'PLANILHA ORÇAMENTARIA'!J134</f>
        <v>29473.03</v>
      </c>
      <c r="E38" s="57"/>
      <c r="F38" s="57"/>
      <c r="G38" s="57"/>
      <c r="H38" s="57"/>
      <c r="I38" s="57"/>
      <c r="J38" s="57"/>
      <c r="K38" s="57"/>
      <c r="L38" s="57">
        <v>0.2</v>
      </c>
      <c r="M38" s="57">
        <v>0.6</v>
      </c>
      <c r="N38" s="57">
        <v>0.2</v>
      </c>
      <c r="O38" s="57"/>
      <c r="P38" s="57"/>
      <c r="Q38" s="57"/>
      <c r="R38" s="57"/>
      <c r="S38" s="57">
        <f t="shared" si="7"/>
        <v>1</v>
      </c>
      <c r="T38" s="300"/>
    </row>
    <row r="39" spans="2:20" ht="12.95" customHeight="1">
      <c r="B39" s="353"/>
      <c r="C39" s="355"/>
      <c r="D39" s="357"/>
      <c r="E39" s="58"/>
      <c r="F39" s="58"/>
      <c r="G39" s="58"/>
      <c r="H39" s="58"/>
      <c r="I39" s="58"/>
      <c r="J39" s="58"/>
      <c r="K39" s="58"/>
      <c r="L39" s="58">
        <f t="shared" ref="L39:M39" si="11">$D38*L38</f>
        <v>5894.6059999999998</v>
      </c>
      <c r="M39" s="58">
        <f t="shared" si="11"/>
        <v>17683.817999999999</v>
      </c>
      <c r="N39" s="58">
        <f>$D38*N38</f>
        <v>5894.6059999999998</v>
      </c>
      <c r="O39" s="58"/>
      <c r="P39" s="58"/>
      <c r="Q39" s="58"/>
      <c r="R39" s="58"/>
      <c r="S39" s="58">
        <f t="shared" si="7"/>
        <v>29473.03</v>
      </c>
      <c r="T39" s="300"/>
    </row>
    <row r="40" spans="2:20" ht="12" customHeight="1">
      <c r="B40" s="352">
        <v>13</v>
      </c>
      <c r="C40" s="354" t="str">
        <f>'PLANILHA ORÇAMENTARIA'!C138:D138</f>
        <v>INSTALAÇÃO SANITÁRIA</v>
      </c>
      <c r="D40" s="356">
        <f>'PLANILHA ORÇAMENTARIA'!J138</f>
        <v>30148.030000000002</v>
      </c>
      <c r="E40" s="57"/>
      <c r="F40" s="57"/>
      <c r="G40" s="57"/>
      <c r="H40" s="57"/>
      <c r="I40" s="57"/>
      <c r="J40" s="57"/>
      <c r="K40" s="57"/>
      <c r="L40" s="57">
        <v>0.1</v>
      </c>
      <c r="M40" s="57">
        <v>0.3</v>
      </c>
      <c r="N40" s="57">
        <v>0.3</v>
      </c>
      <c r="O40" s="57">
        <v>0.3</v>
      </c>
      <c r="P40" s="57"/>
      <c r="Q40" s="57"/>
      <c r="R40" s="57"/>
      <c r="S40" s="57">
        <f t="shared" ref="S40:S55" si="12">SUM(E40:R40)</f>
        <v>1</v>
      </c>
      <c r="T40" s="300"/>
    </row>
    <row r="41" spans="2:20" ht="12.95" customHeight="1">
      <c r="B41" s="353"/>
      <c r="C41" s="355"/>
      <c r="D41" s="357"/>
      <c r="E41" s="58"/>
      <c r="F41" s="58"/>
      <c r="G41" s="58"/>
      <c r="H41" s="58"/>
      <c r="I41" s="58"/>
      <c r="J41" s="58"/>
      <c r="K41" s="58"/>
      <c r="L41" s="58">
        <f t="shared" si="10"/>
        <v>3014.8</v>
      </c>
      <c r="M41" s="58">
        <f t="shared" si="10"/>
        <v>9044.41</v>
      </c>
      <c r="N41" s="58">
        <f t="shared" si="10"/>
        <v>9044.41</v>
      </c>
      <c r="O41" s="58">
        <f t="shared" si="10"/>
        <v>9044.41</v>
      </c>
      <c r="P41" s="58"/>
      <c r="Q41" s="58"/>
      <c r="R41" s="58"/>
      <c r="S41" s="58">
        <f t="shared" si="12"/>
        <v>30148.03</v>
      </c>
      <c r="T41" s="300"/>
    </row>
    <row r="42" spans="2:20" ht="12" customHeight="1">
      <c r="B42" s="352">
        <v>14</v>
      </c>
      <c r="C42" s="354" t="str">
        <f>'PLANILHA ORÇAMENTARIA'!C147:D147</f>
        <v>LOUÇAS, ACESSORIOS E METAIS</v>
      </c>
      <c r="D42" s="356">
        <f>'PLANILHA ORÇAMENTARIA'!J147</f>
        <v>66483.739999999991</v>
      </c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>
        <v>0.4</v>
      </c>
      <c r="Q42" s="57">
        <v>0.6</v>
      </c>
      <c r="R42" s="57"/>
      <c r="S42" s="57">
        <f t="shared" si="12"/>
        <v>1</v>
      </c>
      <c r="T42" s="300"/>
    </row>
    <row r="43" spans="2:20" ht="12.95" customHeight="1">
      <c r="B43" s="353"/>
      <c r="C43" s="355"/>
      <c r="D43" s="357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>
        <f t="shared" si="10"/>
        <v>26593.5</v>
      </c>
      <c r="Q43" s="58">
        <f t="shared" si="10"/>
        <v>39890.239999999998</v>
      </c>
      <c r="R43" s="58"/>
      <c r="S43" s="58">
        <f t="shared" si="12"/>
        <v>66483.739999999991</v>
      </c>
      <c r="T43" s="300"/>
    </row>
    <row r="44" spans="2:20" ht="12" customHeight="1">
      <c r="B44" s="352">
        <v>15</v>
      </c>
      <c r="C44" s="354" t="str">
        <f>'PLANILHA ORÇAMENTARIA'!C167:D167</f>
        <v>INSTALAÇÃO DE GÁS COMBUSTÍVEL</v>
      </c>
      <c r="D44" s="356">
        <f>'PLANILHA ORÇAMENTARIA'!J167</f>
        <v>3518.02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>
        <v>1</v>
      </c>
      <c r="S44" s="57">
        <f t="shared" si="12"/>
        <v>1</v>
      </c>
      <c r="T44" s="300"/>
    </row>
    <row r="45" spans="2:20" ht="12.95" customHeight="1">
      <c r="B45" s="353"/>
      <c r="C45" s="355"/>
      <c r="D45" s="357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>
        <f t="shared" si="10"/>
        <v>3518.02</v>
      </c>
      <c r="S45" s="58">
        <f t="shared" si="12"/>
        <v>3518.02</v>
      </c>
      <c r="T45" s="300"/>
    </row>
    <row r="46" spans="2:20" ht="25.5" customHeight="1">
      <c r="B46" s="352">
        <v>16</v>
      </c>
      <c r="C46" s="354" t="str">
        <f>'PLANILHA ORÇAMENTARIA'!C171:D171</f>
        <v>SISTEMA DEPROTEÇÃO CONTRA INCÊNDIO</v>
      </c>
      <c r="D46" s="356">
        <f>'PLANILHA ORÇAMENTARIA'!J171</f>
        <v>58490.369999999995</v>
      </c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>
        <v>0.3</v>
      </c>
      <c r="Q46" s="57">
        <v>0.4</v>
      </c>
      <c r="R46" s="57">
        <v>0.3</v>
      </c>
      <c r="S46" s="57">
        <f t="shared" si="12"/>
        <v>1</v>
      </c>
      <c r="T46" s="300"/>
    </row>
    <row r="47" spans="2:20" ht="12.95" customHeight="1">
      <c r="B47" s="353"/>
      <c r="C47" s="355"/>
      <c r="D47" s="357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>
        <f t="shared" si="10"/>
        <v>17547.11</v>
      </c>
      <c r="Q47" s="58">
        <f t="shared" si="10"/>
        <v>23396.15</v>
      </c>
      <c r="R47" s="58">
        <f t="shared" si="10"/>
        <v>17547.11</v>
      </c>
      <c r="S47" s="58">
        <f t="shared" si="12"/>
        <v>58490.37</v>
      </c>
      <c r="T47" s="300"/>
    </row>
    <row r="48" spans="2:20" ht="12" customHeight="1">
      <c r="B48" s="352">
        <v>17</v>
      </c>
      <c r="C48" s="354" t="str">
        <f>'PLANILHA ORÇAMENTARIA'!C182:D182</f>
        <v>INSTALAÇÕES ELÉTRICAS - 127-220V</v>
      </c>
      <c r="D48" s="356">
        <f>'PLANILHA ORÇAMENTARIA'!J182</f>
        <v>808336.14</v>
      </c>
      <c r="E48" s="57"/>
      <c r="F48" s="57"/>
      <c r="G48" s="57"/>
      <c r="H48" s="57"/>
      <c r="I48" s="57"/>
      <c r="J48" s="57"/>
      <c r="K48" s="57"/>
      <c r="L48" s="57"/>
      <c r="M48" s="57"/>
      <c r="N48" s="57">
        <v>0.2</v>
      </c>
      <c r="O48" s="57">
        <v>0.3</v>
      </c>
      <c r="P48" s="57">
        <v>0.3</v>
      </c>
      <c r="Q48" s="57">
        <v>0.2</v>
      </c>
      <c r="R48" s="57"/>
      <c r="S48" s="57">
        <f t="shared" ref="S48:S51" si="13">SUM(E48:R48)</f>
        <v>1</v>
      </c>
      <c r="T48" s="300"/>
    </row>
    <row r="49" spans="2:20" ht="12.95" customHeight="1">
      <c r="B49" s="353"/>
      <c r="C49" s="355"/>
      <c r="D49" s="357"/>
      <c r="E49" s="58"/>
      <c r="F49" s="58"/>
      <c r="G49" s="58"/>
      <c r="H49" s="58"/>
      <c r="I49" s="58"/>
      <c r="J49" s="58"/>
      <c r="K49" s="58"/>
      <c r="L49" s="58"/>
      <c r="M49" s="58"/>
      <c r="N49" s="58">
        <f>($D48*N48)</f>
        <v>161667.228</v>
      </c>
      <c r="O49" s="58">
        <f>($D48*O48)</f>
        <v>242500.842</v>
      </c>
      <c r="P49" s="58">
        <f t="shared" ref="P49:Q49" si="14">($D48*P48)</f>
        <v>242500.842</v>
      </c>
      <c r="Q49" s="58">
        <f t="shared" si="14"/>
        <v>161667.228</v>
      </c>
      <c r="R49" s="58"/>
      <c r="S49" s="58">
        <f t="shared" si="13"/>
        <v>808336.14</v>
      </c>
      <c r="T49" s="300"/>
    </row>
    <row r="50" spans="2:20" ht="12" customHeight="1">
      <c r="B50" s="352">
        <v>18</v>
      </c>
      <c r="C50" s="354" t="str">
        <f>'PLANILHA ORÇAMENTARIA'!C235:D235</f>
        <v>INSTALAÇÃO DE CLIMATIZAÇÃO</v>
      </c>
      <c r="D50" s="356">
        <f>'PLANILHA ORÇAMENTARIA'!J235</f>
        <v>251795.27000000002</v>
      </c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>
        <v>0.1</v>
      </c>
      <c r="R50" s="57">
        <v>0.9</v>
      </c>
      <c r="S50" s="57">
        <f t="shared" si="13"/>
        <v>1</v>
      </c>
      <c r="T50" s="300"/>
    </row>
    <row r="51" spans="2:20" ht="12.95" customHeight="1">
      <c r="B51" s="353"/>
      <c r="C51" s="355"/>
      <c r="D51" s="357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>
        <f t="shared" ref="Q51" si="15">($D50*Q50)</f>
        <v>25179.527000000002</v>
      </c>
      <c r="R51" s="58">
        <f t="shared" ref="R51:R53" si="16">($D50*R50)</f>
        <v>226615.74300000002</v>
      </c>
      <c r="S51" s="58">
        <f t="shared" si="13"/>
        <v>251795.27000000002</v>
      </c>
      <c r="T51" s="300"/>
    </row>
    <row r="52" spans="2:20" ht="12" customHeight="1">
      <c r="B52" s="352">
        <v>19</v>
      </c>
      <c r="C52" s="354" t="str">
        <f>'PLANILHA ORÇAMENTARIA'!C247:D247</f>
        <v>INSTALAÇÕES DE REDE ESTRUTURADA</v>
      </c>
      <c r="D52" s="356">
        <f>'PLANILHA ORÇAMENTARIA'!J247</f>
        <v>45178.420000000013</v>
      </c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>
        <v>1</v>
      </c>
      <c r="S52" s="57">
        <f t="shared" si="12"/>
        <v>1</v>
      </c>
      <c r="T52" s="300"/>
    </row>
    <row r="53" spans="2:20" ht="12.95" customHeight="1">
      <c r="B53" s="353"/>
      <c r="C53" s="355"/>
      <c r="D53" s="357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>
        <f t="shared" si="16"/>
        <v>45178.420000000013</v>
      </c>
      <c r="S53" s="58">
        <f t="shared" si="12"/>
        <v>45178.420000000013</v>
      </c>
      <c r="T53" s="300"/>
    </row>
    <row r="54" spans="2:20" ht="12" customHeight="1">
      <c r="B54" s="352">
        <v>20</v>
      </c>
      <c r="C54" s="354" t="str">
        <f>'PLANILHA ORÇAMENTARIA'!C261:D261</f>
        <v>SISTEMA DE PROTEÇÃO CONTRA DESCARGAS ATMOSFERICAS (SPDA)</v>
      </c>
      <c r="D54" s="356">
        <f>'PLANILHA ORÇAMENTARIA'!J261</f>
        <v>218354.52999999997</v>
      </c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>
        <v>0.3</v>
      </c>
      <c r="P54" s="57">
        <v>0.3</v>
      </c>
      <c r="Q54" s="57">
        <v>0.4</v>
      </c>
      <c r="R54" s="57"/>
      <c r="S54" s="57">
        <f t="shared" si="12"/>
        <v>1</v>
      </c>
      <c r="T54" s="300"/>
    </row>
    <row r="55" spans="2:20" ht="12.95" customHeight="1">
      <c r="B55" s="353"/>
      <c r="C55" s="355"/>
      <c r="D55" s="357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>
        <f t="shared" ref="O55" si="17">($D54*O54)</f>
        <v>65506.358999999989</v>
      </c>
      <c r="P55" s="58">
        <f t="shared" ref="P55" si="18">($D54*P54)</f>
        <v>65506.358999999989</v>
      </c>
      <c r="Q55" s="58">
        <f t="shared" ref="Q55" si="19">($D54*Q54)</f>
        <v>87341.811999999991</v>
      </c>
      <c r="R55" s="58"/>
      <c r="S55" s="58">
        <f t="shared" si="12"/>
        <v>218354.52999999997</v>
      </c>
      <c r="T55" s="300"/>
    </row>
    <row r="56" spans="2:20" ht="12" customHeight="1">
      <c r="B56" s="352">
        <v>21</v>
      </c>
      <c r="C56" s="354" t="str">
        <f>'PLANILHA ORÇAMENTARIA'!C272:D272</f>
        <v>REFORMA QUADRA POLIESPORTIVA</v>
      </c>
      <c r="D56" s="356">
        <f>'PLANILHA ORÇAMENTARIA'!J272</f>
        <v>214172.98</v>
      </c>
      <c r="E56" s="57"/>
      <c r="F56" s="57"/>
      <c r="G56" s="57"/>
      <c r="H56" s="57"/>
      <c r="I56" s="57"/>
      <c r="J56" s="57"/>
      <c r="K56" s="57"/>
      <c r="L56" s="57">
        <v>0.1</v>
      </c>
      <c r="M56" s="57">
        <v>0.2</v>
      </c>
      <c r="N56" s="57">
        <v>0.2</v>
      </c>
      <c r="O56" s="57">
        <v>0.2</v>
      </c>
      <c r="P56" s="57">
        <v>0.3</v>
      </c>
      <c r="Q56" s="57"/>
      <c r="R56" s="57"/>
      <c r="S56" s="57">
        <f t="shared" si="0"/>
        <v>1</v>
      </c>
      <c r="T56" s="300"/>
    </row>
    <row r="57" spans="2:20" ht="12.95" customHeight="1">
      <c r="B57" s="353"/>
      <c r="C57" s="355"/>
      <c r="D57" s="357"/>
      <c r="E57" s="58"/>
      <c r="F57" s="58"/>
      <c r="G57" s="58"/>
      <c r="H57" s="58"/>
      <c r="I57" s="58"/>
      <c r="J57" s="58"/>
      <c r="K57" s="58"/>
      <c r="L57" s="58">
        <f t="shared" ref="L57" si="20">($D56*L56)</f>
        <v>21417.298000000003</v>
      </c>
      <c r="M57" s="58">
        <f t="shared" ref="M57" si="21">($D56*M56)</f>
        <v>42834.596000000005</v>
      </c>
      <c r="N57" s="58">
        <f t="shared" ref="N57" si="22">($D56*N56)</f>
        <v>42834.596000000005</v>
      </c>
      <c r="O57" s="58">
        <f t="shared" ref="O57" si="23">($D56*O56)</f>
        <v>42834.596000000005</v>
      </c>
      <c r="P57" s="58">
        <f t="shared" ref="P57" si="24">($D56*P56)</f>
        <v>64251.894</v>
      </c>
      <c r="Q57" s="58"/>
      <c r="R57" s="58"/>
      <c r="S57" s="58">
        <f t="shared" si="0"/>
        <v>214172.98</v>
      </c>
      <c r="T57" s="300"/>
    </row>
    <row r="58" spans="2:20" ht="12" customHeight="1">
      <c r="B58" s="352">
        <v>22</v>
      </c>
      <c r="C58" s="354" t="str">
        <f>'PLANILHA ORÇAMENTARIA'!C285:D285</f>
        <v>SERVIÇOS COMPLEMENTARES</v>
      </c>
      <c r="D58" s="356">
        <f>'PLANILHA ORÇAMENTARIA'!J285</f>
        <v>226571.85999999996</v>
      </c>
      <c r="E58" s="57"/>
      <c r="F58" s="57"/>
      <c r="G58" s="57"/>
      <c r="H58" s="57"/>
      <c r="I58" s="57"/>
      <c r="J58" s="57"/>
      <c r="K58" s="57"/>
      <c r="L58" s="57">
        <v>0.1</v>
      </c>
      <c r="M58" s="57">
        <v>0.2</v>
      </c>
      <c r="N58" s="57">
        <v>0.2</v>
      </c>
      <c r="O58" s="57">
        <v>0.2</v>
      </c>
      <c r="P58" s="57">
        <v>0.2</v>
      </c>
      <c r="Q58" s="57">
        <v>0.1</v>
      </c>
      <c r="R58" s="57"/>
      <c r="S58" s="57">
        <f t="shared" si="0"/>
        <v>0.99999999999999989</v>
      </c>
      <c r="T58" s="300"/>
    </row>
    <row r="59" spans="2:20" ht="12.95" customHeight="1">
      <c r="B59" s="353"/>
      <c r="C59" s="355"/>
      <c r="D59" s="357"/>
      <c r="E59" s="58"/>
      <c r="F59" s="58"/>
      <c r="G59" s="58"/>
      <c r="H59" s="58"/>
      <c r="I59" s="58"/>
      <c r="J59" s="58"/>
      <c r="K59" s="58"/>
      <c r="L59" s="58">
        <f t="shared" ref="L59:Q59" si="25">($D58*L58)</f>
        <v>22657.185999999998</v>
      </c>
      <c r="M59" s="58">
        <f t="shared" si="25"/>
        <v>45314.371999999996</v>
      </c>
      <c r="N59" s="58">
        <f t="shared" si="25"/>
        <v>45314.371999999996</v>
      </c>
      <c r="O59" s="58">
        <f t="shared" si="25"/>
        <v>45314.371999999996</v>
      </c>
      <c r="P59" s="58">
        <f t="shared" si="25"/>
        <v>45314.371999999996</v>
      </c>
      <c r="Q59" s="58">
        <f t="shared" si="25"/>
        <v>22657.185999999998</v>
      </c>
      <c r="R59" s="58"/>
      <c r="S59" s="58">
        <f t="shared" si="0"/>
        <v>226571.86</v>
      </c>
      <c r="T59" s="300"/>
    </row>
    <row r="60" spans="2:20" ht="12" customHeight="1">
      <c r="B60" s="59"/>
      <c r="C60" s="361" t="s">
        <v>21</v>
      </c>
      <c r="D60" s="363">
        <f>SUM(D16:D59)</f>
        <v>5150301.4800000004</v>
      </c>
      <c r="E60" s="60">
        <f>E17+E19+E21+E23+E25+E27+E29+E31+E33+E35+E37+E39+E41+E43+E45+E47+E49+E51+E53+E55+E57+E59</f>
        <v>237353.34999999998</v>
      </c>
      <c r="F60" s="60">
        <f>F17+F19+F21+F23+F25+F27+F29+F31+F33+F35+F37+F39+F41+F43+F45+F47+F49+F51+F53+F55+F57+F59</f>
        <v>67393.350000000006</v>
      </c>
      <c r="G60" s="60">
        <f t="shared" ref="G60:N60" si="26">G17+G19+G21+G23+G25+G27+G29+G31+G33+G35+G37+G39+G41+G43+G45+G47+G49+G51+G53+G55+G57+G59</f>
        <v>273242.935</v>
      </c>
      <c r="H60" s="60">
        <f t="shared" si="26"/>
        <v>269826.50300000003</v>
      </c>
      <c r="I60" s="60">
        <f t="shared" si="26"/>
        <v>525191.42799999996</v>
      </c>
      <c r="J60" s="60">
        <f t="shared" si="26"/>
        <v>519485.63300000003</v>
      </c>
      <c r="K60" s="60">
        <f t="shared" si="26"/>
        <v>483378.15600000008</v>
      </c>
      <c r="L60" s="60">
        <f t="shared" si="26"/>
        <v>404545.4</v>
      </c>
      <c r="M60" s="60">
        <f t="shared" si="26"/>
        <v>398229.34599999996</v>
      </c>
      <c r="N60" s="60">
        <f t="shared" si="26"/>
        <v>356377.19699999999</v>
      </c>
      <c r="O60" s="60">
        <f t="shared" ref="O60" si="27">O17+O19+O21+O23+O25+O27+O29+O31+O33+O35+O37+O39+O41+O43+O45+O47+O49+O51+O53+O55+O57+O59</f>
        <v>452886.62400000001</v>
      </c>
      <c r="P60" s="60">
        <f t="shared" ref="P60" si="28">P17+P19+P21+P23+P25+P27+P29+P31+P33+P35+P37+P39+P41+P43+P45+P47+P49+P51+P53+P55+P57+P59</f>
        <v>509400.12199999997</v>
      </c>
      <c r="Q60" s="60">
        <f t="shared" ref="Q60" si="29">Q17+Q19+Q21+Q23+Q25+Q27+Q29+Q31+Q33+Q35+Q37+Q39+Q41+Q43+Q45+Q47+Q49+Q51+Q53+Q55+Q57+Q59</f>
        <v>360132.14299999998</v>
      </c>
      <c r="R60" s="60">
        <f t="shared" ref="R60:S61" si="30">R17+R19+R21+R23+R25+R27+R29+R31+R33+R35+R37+R39+R41+R43+R45+R47+R49+R51+R53+R55+R57+R59</f>
        <v>292859.29300000006</v>
      </c>
      <c r="S60" s="359">
        <f>S17+S19+S21+S23+S25+S27+S29+S31+S33+S35+S37+S39+S41+S43+S45+S47+S49+S51+S53+S55+S57+S59</f>
        <v>5150301.4800000004</v>
      </c>
    </row>
    <row r="61" spans="2:20" ht="12.95" customHeight="1">
      <c r="B61" s="61"/>
      <c r="C61" s="362"/>
      <c r="D61" s="364"/>
      <c r="E61" s="58">
        <f>SUM(E60)</f>
        <v>237353.34999999998</v>
      </c>
      <c r="F61" s="58">
        <f t="shared" ref="F61" si="31">E61+F60</f>
        <v>304746.69999999995</v>
      </c>
      <c r="G61" s="58">
        <f t="shared" ref="G61" si="32">F61+G60</f>
        <v>577989.63500000001</v>
      </c>
      <c r="H61" s="58">
        <f t="shared" ref="H61" si="33">G61+H60</f>
        <v>847816.13800000004</v>
      </c>
      <c r="I61" s="58">
        <f t="shared" ref="I61" si="34">H61+I60</f>
        <v>1373007.5660000001</v>
      </c>
      <c r="J61" s="58">
        <f t="shared" ref="J61" si="35">I61+J60</f>
        <v>1892493.199</v>
      </c>
      <c r="K61" s="58">
        <f t="shared" ref="K61" si="36">J61+K60</f>
        <v>2375871.355</v>
      </c>
      <c r="L61" s="58">
        <f t="shared" ref="L61" si="37">K61+L60</f>
        <v>2780416.7549999999</v>
      </c>
      <c r="M61" s="58">
        <f t="shared" ref="M61" si="38">L61+M60</f>
        <v>3178646.1009999998</v>
      </c>
      <c r="N61" s="58">
        <f t="shared" ref="N61" si="39">M61+N60</f>
        <v>3535023.298</v>
      </c>
      <c r="O61" s="58">
        <f t="shared" ref="O61" si="40">N61+O60</f>
        <v>3987909.9219999998</v>
      </c>
      <c r="P61" s="58">
        <f t="shared" ref="P61" si="41">O61+P60</f>
        <v>4497310.0439999998</v>
      </c>
      <c r="Q61" s="58">
        <f t="shared" ref="Q61" si="42">P61+Q60</f>
        <v>4857442.1869999999</v>
      </c>
      <c r="R61" s="58">
        <f t="shared" ref="R61" si="43">Q61+R60</f>
        <v>5150301.4800000004</v>
      </c>
      <c r="S61" s="360">
        <f t="shared" si="30"/>
        <v>5150322.4800000004</v>
      </c>
    </row>
    <row r="62" spans="2:20" ht="12.95" customHeight="1">
      <c r="B62" s="115"/>
      <c r="C62" s="116"/>
      <c r="D62" s="142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7"/>
      <c r="R62" s="117"/>
      <c r="S62" s="118"/>
    </row>
  </sheetData>
  <mergeCells count="71">
    <mergeCell ref="B2:S8"/>
    <mergeCell ref="B14:S14"/>
    <mergeCell ref="B58:B59"/>
    <mergeCell ref="C58:C59"/>
    <mergeCell ref="D58:D59"/>
    <mergeCell ref="B56:B57"/>
    <mergeCell ref="C56:C57"/>
    <mergeCell ref="D56:D57"/>
    <mergeCell ref="B28:B29"/>
    <mergeCell ref="C28:C29"/>
    <mergeCell ref="D28:D29"/>
    <mergeCell ref="B30:B31"/>
    <mergeCell ref="C30:C31"/>
    <mergeCell ref="D22:D23"/>
    <mergeCell ref="B18:B19"/>
    <mergeCell ref="C18:C19"/>
    <mergeCell ref="S60:S61"/>
    <mergeCell ref="C60:C61"/>
    <mergeCell ref="D60:D61"/>
    <mergeCell ref="D30:D31"/>
    <mergeCell ref="B26:B27"/>
    <mergeCell ref="C26:C27"/>
    <mergeCell ref="D26:D27"/>
    <mergeCell ref="B32:B33"/>
    <mergeCell ref="C32:C33"/>
    <mergeCell ref="D32:D33"/>
    <mergeCell ref="B34:B35"/>
    <mergeCell ref="C34:C35"/>
    <mergeCell ref="D34:D35"/>
    <mergeCell ref="B36:B37"/>
    <mergeCell ref="C36:C37"/>
    <mergeCell ref="D36:D37"/>
    <mergeCell ref="B16:B17"/>
    <mergeCell ref="C16:C17"/>
    <mergeCell ref="D16:D17"/>
    <mergeCell ref="B24:B25"/>
    <mergeCell ref="C24:C25"/>
    <mergeCell ref="D24:D25"/>
    <mergeCell ref="D18:D19"/>
    <mergeCell ref="B20:B21"/>
    <mergeCell ref="C20:C21"/>
    <mergeCell ref="D20:D21"/>
    <mergeCell ref="B22:B23"/>
    <mergeCell ref="C22:C23"/>
    <mergeCell ref="B38:B39"/>
    <mergeCell ref="C38:C39"/>
    <mergeCell ref="D38:D39"/>
    <mergeCell ref="B40:B41"/>
    <mergeCell ref="C40:C41"/>
    <mergeCell ref="D40:D41"/>
    <mergeCell ref="B42:B43"/>
    <mergeCell ref="C42:C43"/>
    <mergeCell ref="D42:D43"/>
    <mergeCell ref="B52:B53"/>
    <mergeCell ref="C52:C53"/>
    <mergeCell ref="D52:D53"/>
    <mergeCell ref="B54:B55"/>
    <mergeCell ref="C54:C55"/>
    <mergeCell ref="D54:D55"/>
    <mergeCell ref="B44:B45"/>
    <mergeCell ref="C44:C45"/>
    <mergeCell ref="D44:D45"/>
    <mergeCell ref="B46:B47"/>
    <mergeCell ref="C46:C47"/>
    <mergeCell ref="D46:D47"/>
    <mergeCell ref="B48:B49"/>
    <mergeCell ref="C48:C49"/>
    <mergeCell ref="D48:D49"/>
    <mergeCell ref="B50:B51"/>
    <mergeCell ref="C50:C51"/>
    <mergeCell ref="D50:D51"/>
  </mergeCells>
  <pageMargins left="0.25" right="0.25" top="0.75" bottom="0.75" header="0.3" footer="0.3"/>
  <pageSetup paperSize="9" scale="5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  <outlinePr summaryBelow="0"/>
    <pageSetUpPr fitToPage="1"/>
  </sheetPr>
  <dimension ref="B1:K48"/>
  <sheetViews>
    <sheetView view="pageBreakPreview" zoomScale="60" zoomScaleNormal="80" workbookViewId="0">
      <selection activeCell="B18" sqref="B18:K48"/>
    </sheetView>
  </sheetViews>
  <sheetFormatPr defaultColWidth="9.140625" defaultRowHeight="12.75"/>
  <cols>
    <col min="1" max="1" width="3.7109375" style="98" customWidth="1"/>
    <col min="2" max="2" width="9.28515625" style="98" customWidth="1"/>
    <col min="3" max="3" width="34.7109375" style="98" customWidth="1"/>
    <col min="4" max="5" width="15" style="98" customWidth="1"/>
    <col min="6" max="10" width="11.85546875" style="98" customWidth="1"/>
    <col min="11" max="11" width="17.28515625" style="98" customWidth="1"/>
    <col min="12" max="16384" width="9.140625" style="98"/>
  </cols>
  <sheetData>
    <row r="1" spans="2:11" ht="13.5" thickBot="1"/>
    <row r="2" spans="2:11" ht="12.75" customHeight="1">
      <c r="B2" s="326" t="s">
        <v>0</v>
      </c>
      <c r="C2" s="341"/>
      <c r="D2" s="341"/>
      <c r="E2" s="341"/>
      <c r="F2" s="341"/>
      <c r="G2" s="341"/>
      <c r="H2" s="341"/>
      <c r="I2" s="341"/>
      <c r="J2" s="341"/>
      <c r="K2" s="342"/>
    </row>
    <row r="3" spans="2:11" ht="15" customHeight="1">
      <c r="B3" s="343"/>
      <c r="C3" s="344"/>
      <c r="D3" s="344"/>
      <c r="E3" s="344"/>
      <c r="F3" s="344"/>
      <c r="G3" s="344"/>
      <c r="H3" s="344"/>
      <c r="I3" s="344"/>
      <c r="J3" s="344"/>
      <c r="K3" s="345"/>
    </row>
    <row r="4" spans="2:11" ht="15" customHeight="1">
      <c r="B4" s="343"/>
      <c r="C4" s="344"/>
      <c r="D4" s="344"/>
      <c r="E4" s="344"/>
      <c r="F4" s="344"/>
      <c r="G4" s="344"/>
      <c r="H4" s="344"/>
      <c r="I4" s="344"/>
      <c r="J4" s="344"/>
      <c r="K4" s="345"/>
    </row>
    <row r="5" spans="2:11" ht="15" customHeight="1">
      <c r="B5" s="343"/>
      <c r="C5" s="344"/>
      <c r="D5" s="344"/>
      <c r="E5" s="344"/>
      <c r="F5" s="344"/>
      <c r="G5" s="344"/>
      <c r="H5" s="344"/>
      <c r="I5" s="344"/>
      <c r="J5" s="344"/>
      <c r="K5" s="345"/>
    </row>
    <row r="6" spans="2:11" ht="15" customHeight="1">
      <c r="B6" s="343"/>
      <c r="C6" s="344"/>
      <c r="D6" s="344"/>
      <c r="E6" s="344"/>
      <c r="F6" s="344"/>
      <c r="G6" s="344"/>
      <c r="H6" s="344"/>
      <c r="I6" s="344"/>
      <c r="J6" s="344"/>
      <c r="K6" s="345"/>
    </row>
    <row r="7" spans="2:11" ht="15" customHeight="1">
      <c r="B7" s="343"/>
      <c r="C7" s="344"/>
      <c r="D7" s="344"/>
      <c r="E7" s="344"/>
      <c r="F7" s="344"/>
      <c r="G7" s="344"/>
      <c r="H7" s="344"/>
      <c r="I7" s="344"/>
      <c r="J7" s="344"/>
      <c r="K7" s="345"/>
    </row>
    <row r="8" spans="2:11" ht="15.75" customHeight="1" thickBot="1">
      <c r="B8" s="346"/>
      <c r="C8" s="347"/>
      <c r="D8" s="347"/>
      <c r="E8" s="347"/>
      <c r="F8" s="347"/>
      <c r="G8" s="347"/>
      <c r="H8" s="347"/>
      <c r="I8" s="347"/>
      <c r="J8" s="347"/>
      <c r="K8" s="348"/>
    </row>
    <row r="9" spans="2:11" ht="13.5" thickBot="1">
      <c r="B9" s="11"/>
      <c r="C9" s="11"/>
      <c r="D9" s="12"/>
      <c r="E9" s="12"/>
      <c r="F9" s="13"/>
      <c r="G9" s="6"/>
      <c r="H9" s="11"/>
      <c r="I9" s="11"/>
      <c r="J9" s="11"/>
      <c r="K9" s="11"/>
    </row>
    <row r="10" spans="2:11">
      <c r="B10" s="114" t="s">
        <v>79</v>
      </c>
      <c r="C10" s="113"/>
      <c r="D10" s="113"/>
      <c r="E10" s="113"/>
      <c r="F10" s="112"/>
      <c r="G10" s="111"/>
      <c r="H10" s="15"/>
      <c r="I10" s="15"/>
      <c r="J10" s="15"/>
      <c r="K10" s="110"/>
    </row>
    <row r="11" spans="2:11">
      <c r="B11" s="109" t="s">
        <v>14</v>
      </c>
      <c r="C11" s="102"/>
      <c r="D11" s="102"/>
      <c r="E11" s="102"/>
      <c r="F11" s="101"/>
      <c r="G11" s="100"/>
      <c r="H11" s="20"/>
      <c r="I11" s="20"/>
      <c r="J11" s="20"/>
      <c r="K11" s="108"/>
    </row>
    <row r="12" spans="2:11" ht="13.5" thickBot="1">
      <c r="B12" s="107" t="s">
        <v>15</v>
      </c>
      <c r="C12" s="106"/>
      <c r="D12" s="106"/>
      <c r="E12" s="106"/>
      <c r="F12" s="105"/>
      <c r="G12" s="104"/>
      <c r="H12" s="25"/>
      <c r="I12" s="25"/>
      <c r="J12" s="25"/>
      <c r="K12" s="103"/>
    </row>
    <row r="13" spans="2:11" ht="13.5" thickBot="1">
      <c r="B13" s="102"/>
      <c r="C13" s="102"/>
      <c r="D13" s="102"/>
      <c r="E13" s="102"/>
      <c r="F13" s="101"/>
      <c r="G13" s="100"/>
      <c r="H13" s="20"/>
      <c r="I13" s="20"/>
      <c r="J13" s="20"/>
      <c r="K13" s="100"/>
    </row>
    <row r="14" spans="2:11" ht="16.5" thickBot="1">
      <c r="B14" s="369" t="s">
        <v>16</v>
      </c>
      <c r="C14" s="370"/>
      <c r="D14" s="370"/>
      <c r="E14" s="370"/>
      <c r="F14" s="370"/>
      <c r="G14" s="370"/>
      <c r="H14" s="370"/>
      <c r="I14" s="370"/>
      <c r="J14" s="370"/>
      <c r="K14" s="371"/>
    </row>
    <row r="15" spans="2:11" ht="15">
      <c r="B15" s="368" t="s">
        <v>78</v>
      </c>
      <c r="C15" s="368"/>
      <c r="D15" s="368"/>
      <c r="E15" s="368"/>
      <c r="F15" s="368"/>
      <c r="G15" s="368"/>
      <c r="H15" s="368"/>
      <c r="I15" s="368"/>
      <c r="J15" s="368"/>
      <c r="K15" s="368"/>
    </row>
    <row r="16" spans="2:11" ht="15">
      <c r="B16" s="368" t="s">
        <v>3</v>
      </c>
      <c r="C16" s="368"/>
      <c r="D16" s="368"/>
      <c r="E16" s="368"/>
      <c r="F16" s="368"/>
      <c r="G16" s="368"/>
      <c r="H16" s="368"/>
      <c r="I16" s="368"/>
      <c r="J16" s="368"/>
      <c r="K16" s="368"/>
    </row>
    <row r="17" spans="2:11">
      <c r="B17" s="99"/>
      <c r="C17" s="99"/>
      <c r="D17" s="99"/>
      <c r="E17" s="99"/>
      <c r="F17" s="99"/>
      <c r="G17" s="99"/>
      <c r="H17" s="99"/>
      <c r="I17" s="99"/>
      <c r="J17" s="99"/>
      <c r="K17" s="99"/>
    </row>
    <row r="18" spans="2:11" ht="17.100000000000001" customHeight="1"/>
    <row r="19" spans="2:11" ht="12" customHeight="1"/>
    <row r="20" spans="2:11" ht="12.95" customHeight="1"/>
    <row r="21" spans="2:11" ht="12" customHeight="1"/>
    <row r="22" spans="2:11" ht="12.95" customHeight="1"/>
    <row r="23" spans="2:11" ht="12" customHeight="1"/>
    <row r="24" spans="2:11" ht="12.95" customHeight="1"/>
    <row r="25" spans="2:11" ht="12" customHeight="1"/>
    <row r="26" spans="2:11" ht="12.95" customHeight="1"/>
    <row r="27" spans="2:11" ht="12" customHeight="1"/>
    <row r="28" spans="2:11" ht="12.95" customHeight="1"/>
    <row r="29" spans="2:11" ht="12" customHeight="1"/>
    <row r="30" spans="2:11" ht="12.95" customHeight="1"/>
    <row r="31" spans="2:11" ht="12" customHeight="1"/>
    <row r="32" spans="2:11" ht="12.95" customHeight="1"/>
    <row r="33" ht="12" customHeight="1"/>
    <row r="34" ht="12.95" customHeight="1"/>
    <row r="35" ht="12" customHeight="1"/>
    <row r="36" ht="12.95" customHeight="1"/>
    <row r="37" ht="12" customHeight="1"/>
    <row r="38" ht="12.95" customHeight="1"/>
    <row r="39" ht="12" customHeight="1"/>
    <row r="40" ht="12.95" customHeight="1"/>
    <row r="41" ht="12" customHeight="1"/>
    <row r="42" ht="12.95" customHeight="1"/>
    <row r="43" ht="12" customHeight="1"/>
    <row r="44" ht="12.95" customHeight="1"/>
    <row r="45" ht="12" customHeight="1"/>
    <row r="46" ht="12.95" customHeight="1"/>
    <row r="47" ht="12" customHeight="1"/>
    <row r="48" ht="12.95" customHeight="1"/>
  </sheetData>
  <mergeCells count="4">
    <mergeCell ref="B15:K15"/>
    <mergeCell ref="B16:K16"/>
    <mergeCell ref="B2:K8"/>
    <mergeCell ref="B14:K14"/>
  </mergeCells>
  <printOptions horizontalCentered="1"/>
  <pageMargins left="0.27559055118110237" right="0.27559055118110237" top="0" bottom="0.27559055118110237" header="0" footer="0"/>
  <pageSetup scale="67" fitToHeight="100" orientation="portrait" r:id="rId1"/>
  <drawing r:id="rId2"/>
  <legacyDrawing r:id="rId3"/>
  <oleObjects>
    <mc:AlternateContent xmlns:mc="http://schemas.openxmlformats.org/markup-compatibility/2006">
      <mc:Choice Requires="x14">
        <oleObject shapeId="12289" r:id="rId4">
          <objectPr defaultSize="0" autoPict="0" r:id="rId5">
            <anchor moveWithCells="1" sizeWithCells="1">
              <from>
                <xdr:col>3</xdr:col>
                <xdr:colOff>0</xdr:colOff>
                <xdr:row>1</xdr:row>
                <xdr:rowOff>57150</xdr:rowOff>
              </from>
              <to>
                <xdr:col>3</xdr:col>
                <xdr:colOff>0</xdr:colOff>
                <xdr:row>7</xdr:row>
                <xdr:rowOff>123825</xdr:rowOff>
              </to>
            </anchor>
          </objectPr>
        </oleObject>
      </mc:Choice>
      <mc:Fallback>
        <oleObject shapeId="12289" r:id="rId4"/>
      </mc:Fallback>
    </mc:AlternateContent>
    <mc:AlternateContent xmlns:mc="http://schemas.openxmlformats.org/markup-compatibility/2006">
      <mc:Choice Requires="x14">
        <oleObject shapeId="12290" r:id="rId6">
          <objectPr defaultSize="0" autoPict="0" r:id="rId5">
            <anchor moveWithCells="1" sizeWithCells="1">
              <from>
                <xdr:col>1</xdr:col>
                <xdr:colOff>552450</xdr:colOff>
                <xdr:row>1</xdr:row>
                <xdr:rowOff>57150</xdr:rowOff>
              </from>
              <to>
                <xdr:col>2</xdr:col>
                <xdr:colOff>1000125</xdr:colOff>
                <xdr:row>7</xdr:row>
                <xdr:rowOff>95250</xdr:rowOff>
              </to>
            </anchor>
          </objectPr>
        </oleObject>
      </mc:Choice>
      <mc:Fallback>
        <oleObject shapeId="12290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B1:J151"/>
  <sheetViews>
    <sheetView view="pageBreakPreview" topLeftCell="A7" zoomScaleNormal="100" zoomScaleSheetLayoutView="100" workbookViewId="0">
      <selection activeCell="M10" sqref="M10"/>
    </sheetView>
  </sheetViews>
  <sheetFormatPr defaultColWidth="9.140625" defaultRowHeight="15"/>
  <cols>
    <col min="1" max="1" width="3.28515625" style="62" customWidth="1"/>
    <col min="2" max="2" width="57.140625" style="62" customWidth="1"/>
    <col min="3" max="3" width="10.28515625" style="62" bestFit="1" customWidth="1"/>
    <col min="4" max="4" width="10" style="62" customWidth="1"/>
    <col min="5" max="5" width="8.5703125" style="62" bestFit="1" customWidth="1"/>
    <col min="6" max="6" width="8.7109375" style="62" bestFit="1" customWidth="1"/>
    <col min="7" max="7" width="13.7109375" style="62" bestFit="1" customWidth="1"/>
    <col min="8" max="8" width="8.28515625" style="62" bestFit="1" customWidth="1"/>
    <col min="9" max="9" width="12.5703125" style="62" bestFit="1" customWidth="1"/>
    <col min="10" max="10" width="13.7109375" style="62" customWidth="1"/>
    <col min="11" max="11" width="15.28515625" style="62" customWidth="1"/>
    <col min="12" max="16384" width="9.140625" style="62"/>
  </cols>
  <sheetData>
    <row r="1" spans="2:10" ht="15.75" thickBot="1"/>
    <row r="2" spans="2:10" ht="14.25" customHeight="1">
      <c r="B2" s="326" t="s">
        <v>170</v>
      </c>
      <c r="C2" s="341"/>
      <c r="D2" s="341"/>
      <c r="E2" s="341"/>
      <c r="F2" s="341"/>
      <c r="G2" s="341"/>
      <c r="H2" s="341"/>
      <c r="I2" s="341"/>
      <c r="J2" s="342"/>
    </row>
    <row r="3" spans="2:10">
      <c r="B3" s="343"/>
      <c r="C3" s="344"/>
      <c r="D3" s="344"/>
      <c r="E3" s="344"/>
      <c r="F3" s="344"/>
      <c r="G3" s="344"/>
      <c r="H3" s="344"/>
      <c r="I3" s="344"/>
      <c r="J3" s="345"/>
    </row>
    <row r="4" spans="2:10">
      <c r="B4" s="343"/>
      <c r="C4" s="344"/>
      <c r="D4" s="344"/>
      <c r="E4" s="344"/>
      <c r="F4" s="344"/>
      <c r="G4" s="344"/>
      <c r="H4" s="344"/>
      <c r="I4" s="344"/>
      <c r="J4" s="345"/>
    </row>
    <row r="5" spans="2:10">
      <c r="B5" s="343"/>
      <c r="C5" s="344"/>
      <c r="D5" s="344"/>
      <c r="E5" s="344"/>
      <c r="F5" s="344"/>
      <c r="G5" s="344"/>
      <c r="H5" s="344"/>
      <c r="I5" s="344"/>
      <c r="J5" s="345"/>
    </row>
    <row r="6" spans="2:10">
      <c r="B6" s="343"/>
      <c r="C6" s="344"/>
      <c r="D6" s="344"/>
      <c r="E6" s="344"/>
      <c r="F6" s="344"/>
      <c r="G6" s="344"/>
      <c r="H6" s="344"/>
      <c r="I6" s="344"/>
      <c r="J6" s="345"/>
    </row>
    <row r="7" spans="2:10">
      <c r="B7" s="343"/>
      <c r="C7" s="344"/>
      <c r="D7" s="344"/>
      <c r="E7" s="344"/>
      <c r="F7" s="344"/>
      <c r="G7" s="344"/>
      <c r="H7" s="344"/>
      <c r="I7" s="344"/>
      <c r="J7" s="345"/>
    </row>
    <row r="8" spans="2:10" ht="9" customHeight="1" thickBot="1">
      <c r="B8" s="343"/>
      <c r="C8" s="344"/>
      <c r="D8" s="344"/>
      <c r="E8" s="344"/>
      <c r="F8" s="344"/>
      <c r="G8" s="344"/>
      <c r="H8" s="344"/>
      <c r="I8" s="344"/>
      <c r="J8" s="345"/>
    </row>
    <row r="9" spans="2:10" ht="15.75" hidden="1" thickBot="1">
      <c r="B9" s="63"/>
      <c r="C9" s="64"/>
      <c r="D9" s="64"/>
      <c r="E9" s="64"/>
      <c r="F9" s="64"/>
      <c r="G9" s="64"/>
      <c r="H9" s="65"/>
      <c r="I9" s="66"/>
      <c r="J9" s="67"/>
    </row>
    <row r="10" spans="2:10" ht="15" customHeight="1" thickBot="1">
      <c r="B10" s="1" t="s">
        <v>771</v>
      </c>
      <c r="C10" s="43"/>
      <c r="D10" s="260"/>
      <c r="E10" s="260"/>
      <c r="F10" s="260"/>
      <c r="G10" s="260"/>
      <c r="H10" s="261"/>
      <c r="I10" s="183" t="s">
        <v>40</v>
      </c>
      <c r="J10" s="181">
        <v>1.5727</v>
      </c>
    </row>
    <row r="11" spans="2:10" ht="15" customHeight="1" thickBot="1">
      <c r="B11" s="4" t="s">
        <v>171</v>
      </c>
      <c r="C11" s="46"/>
      <c r="D11" s="177"/>
      <c r="E11" s="177"/>
      <c r="F11" s="177"/>
      <c r="G11" s="177"/>
      <c r="H11" s="184" t="s">
        <v>30</v>
      </c>
      <c r="I11" s="184">
        <f>'BDI DIFERENCIADO'!BDI</f>
        <v>0.15570000000000001</v>
      </c>
      <c r="J11" s="181">
        <f>BDI</f>
        <v>0.28236215718070978</v>
      </c>
    </row>
    <row r="12" spans="2:10" ht="15.75" customHeight="1" thickBot="1">
      <c r="B12" s="7" t="s">
        <v>657</v>
      </c>
      <c r="C12" s="49"/>
      <c r="D12" s="262"/>
      <c r="E12" s="262"/>
      <c r="F12" s="262"/>
      <c r="G12" s="262"/>
      <c r="H12" s="263"/>
      <c r="I12" s="183" t="s">
        <v>41</v>
      </c>
      <c r="J12" s="182" t="s">
        <v>470</v>
      </c>
    </row>
    <row r="13" spans="2:10" ht="4.5" customHeight="1" thickBot="1">
      <c r="C13" s="178"/>
      <c r="D13" s="178"/>
      <c r="E13" s="178"/>
      <c r="F13" s="178"/>
      <c r="G13" s="178"/>
      <c r="H13" s="178"/>
      <c r="I13" s="179"/>
      <c r="J13" s="180"/>
    </row>
    <row r="14" spans="2:10" ht="15.75" customHeight="1" thickBot="1">
      <c r="B14" s="390" t="s">
        <v>42</v>
      </c>
      <c r="C14" s="401"/>
      <c r="D14" s="401"/>
      <c r="E14" s="401"/>
      <c r="F14" s="401"/>
      <c r="G14" s="401"/>
      <c r="H14" s="401"/>
      <c r="I14" s="401"/>
      <c r="J14" s="402"/>
    </row>
    <row r="15" spans="2:10">
      <c r="B15" s="393" t="s">
        <v>222</v>
      </c>
      <c r="C15" s="68" t="s">
        <v>43</v>
      </c>
      <c r="D15" s="69">
        <v>3</v>
      </c>
      <c r="E15" s="70" t="s">
        <v>44</v>
      </c>
      <c r="F15" s="71">
        <v>2022</v>
      </c>
      <c r="G15" s="72"/>
      <c r="H15" s="72"/>
      <c r="I15" s="70" t="s">
        <v>45</v>
      </c>
      <c r="J15" s="144" t="s">
        <v>369</v>
      </c>
    </row>
    <row r="16" spans="2:10">
      <c r="B16" s="394"/>
      <c r="C16" s="73" t="s">
        <v>46</v>
      </c>
      <c r="D16" s="396" t="s">
        <v>47</v>
      </c>
      <c r="E16" s="397"/>
      <c r="F16" s="74"/>
      <c r="G16" s="74"/>
      <c r="H16" s="74"/>
      <c r="I16" s="74"/>
      <c r="J16" s="75"/>
    </row>
    <row r="17" spans="2:10" ht="31.5" customHeight="1">
      <c r="B17" s="394"/>
      <c r="C17" s="73" t="s">
        <v>48</v>
      </c>
      <c r="D17" s="398" t="s">
        <v>371</v>
      </c>
      <c r="E17" s="399"/>
      <c r="F17" s="399"/>
      <c r="G17" s="399"/>
      <c r="H17" s="399"/>
      <c r="I17" s="399"/>
      <c r="J17" s="400"/>
    </row>
    <row r="18" spans="2:10" ht="15.75" thickBot="1">
      <c r="B18" s="395"/>
      <c r="C18" s="76" t="s">
        <v>49</v>
      </c>
      <c r="D18" s="123" t="s">
        <v>77</v>
      </c>
      <c r="E18" s="77"/>
      <c r="F18" s="77"/>
      <c r="G18" s="77"/>
      <c r="H18" s="77"/>
      <c r="I18" s="77"/>
      <c r="J18" s="78"/>
    </row>
    <row r="19" spans="2:10">
      <c r="B19" s="122"/>
      <c r="C19" s="79"/>
      <c r="D19" s="79"/>
      <c r="E19" s="79"/>
      <c r="F19" s="79"/>
      <c r="G19" s="79"/>
      <c r="H19" s="79"/>
      <c r="I19" s="79"/>
      <c r="J19" s="79"/>
    </row>
    <row r="20" spans="2:10" ht="30">
      <c r="B20" s="80" t="s">
        <v>50</v>
      </c>
      <c r="C20" s="81" t="s">
        <v>51</v>
      </c>
      <c r="D20" s="81" t="s">
        <v>52</v>
      </c>
      <c r="E20" s="82" t="s">
        <v>53</v>
      </c>
      <c r="F20" s="82" t="s">
        <v>54</v>
      </c>
      <c r="G20" s="82" t="s">
        <v>55</v>
      </c>
      <c r="H20" s="82" t="s">
        <v>56</v>
      </c>
      <c r="I20" s="82" t="s">
        <v>57</v>
      </c>
      <c r="J20" s="82" t="s">
        <v>58</v>
      </c>
    </row>
    <row r="21" spans="2:10">
      <c r="B21" s="120" t="s">
        <v>223</v>
      </c>
      <c r="C21" s="84" t="s">
        <v>39</v>
      </c>
      <c r="D21" s="121">
        <v>88247</v>
      </c>
      <c r="E21" s="85">
        <v>8</v>
      </c>
      <c r="F21" s="85">
        <v>1</v>
      </c>
      <c r="G21" s="91">
        <v>23.53</v>
      </c>
      <c r="H21" s="85">
        <v>0</v>
      </c>
      <c r="I21" s="92">
        <f>G21</f>
        <v>23.53</v>
      </c>
      <c r="J21" s="86">
        <f>I21*E21</f>
        <v>188.24</v>
      </c>
    </row>
    <row r="22" spans="2:10">
      <c r="B22" s="120" t="s">
        <v>224</v>
      </c>
      <c r="C22" s="84" t="s">
        <v>39</v>
      </c>
      <c r="D22" s="84">
        <v>88264</v>
      </c>
      <c r="E22" s="85">
        <v>8</v>
      </c>
      <c r="F22" s="85">
        <v>1</v>
      </c>
      <c r="G22" s="91">
        <v>26.73</v>
      </c>
      <c r="H22" s="85">
        <v>0</v>
      </c>
      <c r="I22" s="92">
        <f>G22</f>
        <v>26.73</v>
      </c>
      <c r="J22" s="86">
        <f>I22*E22</f>
        <v>213.84</v>
      </c>
    </row>
    <row r="23" spans="2:10">
      <c r="B23" s="83"/>
      <c r="C23" s="83"/>
      <c r="D23" s="84"/>
      <c r="E23" s="84"/>
      <c r="F23" s="85"/>
      <c r="G23" s="85"/>
      <c r="H23" s="85"/>
      <c r="I23" s="85"/>
      <c r="J23" s="86"/>
    </row>
    <row r="24" spans="2:10">
      <c r="B24" s="385" t="s">
        <v>59</v>
      </c>
      <c r="C24" s="386"/>
      <c r="D24" s="386"/>
      <c r="E24" s="386"/>
      <c r="F24" s="386"/>
      <c r="G24" s="386"/>
      <c r="H24" s="386"/>
      <c r="I24" s="387"/>
      <c r="J24" s="87">
        <f>ROUND(SUM(J21:J23),2)</f>
        <v>402.08</v>
      </c>
    </row>
    <row r="25" spans="2:10">
      <c r="B25" s="384"/>
      <c r="C25" s="384"/>
      <c r="D25" s="384"/>
      <c r="E25" s="384"/>
      <c r="F25" s="384"/>
      <c r="G25" s="384"/>
      <c r="H25" s="384"/>
      <c r="I25" s="384"/>
      <c r="J25" s="384"/>
    </row>
    <row r="26" spans="2:10" ht="30">
      <c r="B26" s="80" t="s">
        <v>60</v>
      </c>
      <c r="C26" s="81" t="s">
        <v>51</v>
      </c>
      <c r="D26" s="81" t="s">
        <v>52</v>
      </c>
      <c r="E26" s="82" t="s">
        <v>53</v>
      </c>
      <c r="F26" s="82" t="s">
        <v>54</v>
      </c>
      <c r="G26" s="82" t="s">
        <v>55</v>
      </c>
      <c r="H26" s="82" t="s">
        <v>56</v>
      </c>
      <c r="I26" s="82" t="s">
        <v>57</v>
      </c>
      <c r="J26" s="82" t="s">
        <v>58</v>
      </c>
    </row>
    <row r="27" spans="2:10" ht="51" customHeight="1">
      <c r="B27" s="202" t="s">
        <v>471</v>
      </c>
      <c r="C27" s="210" t="s">
        <v>474</v>
      </c>
      <c r="D27" s="210">
        <v>12232</v>
      </c>
      <c r="E27" s="205">
        <v>1</v>
      </c>
      <c r="F27" s="201"/>
      <c r="G27" s="203">
        <v>3132.33</v>
      </c>
      <c r="H27" s="203"/>
      <c r="I27" s="201">
        <f>G27</f>
        <v>3132.33</v>
      </c>
      <c r="J27" s="206">
        <f>I27*E27</f>
        <v>3132.33</v>
      </c>
    </row>
    <row r="28" spans="2:10" ht="30">
      <c r="B28" s="202" t="s">
        <v>472</v>
      </c>
      <c r="C28" s="211" t="s">
        <v>172</v>
      </c>
      <c r="D28" s="211" t="s">
        <v>473</v>
      </c>
      <c r="E28" s="205">
        <v>1</v>
      </c>
      <c r="F28" s="201"/>
      <c r="G28" s="203">
        <v>1354.06</v>
      </c>
      <c r="H28" s="203"/>
      <c r="I28" s="201">
        <f>G28</f>
        <v>1354.06</v>
      </c>
      <c r="J28" s="206">
        <f t="shared" ref="J28:J31" si="0">I28*E28</f>
        <v>1354.06</v>
      </c>
    </row>
    <row r="29" spans="2:10" ht="30">
      <c r="B29" s="204" t="s">
        <v>384</v>
      </c>
      <c r="C29" s="211" t="s">
        <v>80</v>
      </c>
      <c r="D29" s="211">
        <v>151310</v>
      </c>
      <c r="E29" s="205">
        <v>1</v>
      </c>
      <c r="F29" s="201"/>
      <c r="G29" s="201">
        <v>89.8</v>
      </c>
      <c r="H29" s="201"/>
      <c r="I29" s="201">
        <f t="shared" ref="I29:I32" si="1">G29</f>
        <v>89.8</v>
      </c>
      <c r="J29" s="206">
        <f t="shared" ref="J29" si="2">I29*E29</f>
        <v>89.8</v>
      </c>
    </row>
    <row r="30" spans="2:10" ht="51" customHeight="1">
      <c r="B30" s="204" t="s">
        <v>385</v>
      </c>
      <c r="C30" s="211" t="s">
        <v>80</v>
      </c>
      <c r="D30" s="211">
        <v>151331</v>
      </c>
      <c r="E30" s="205">
        <v>2</v>
      </c>
      <c r="F30" s="201"/>
      <c r="G30" s="201">
        <v>172.13</v>
      </c>
      <c r="H30" s="201"/>
      <c r="I30" s="201">
        <f t="shared" si="1"/>
        <v>172.13</v>
      </c>
      <c r="J30" s="206">
        <f>I30*E30</f>
        <v>344.26</v>
      </c>
    </row>
    <row r="31" spans="2:10">
      <c r="B31" s="207" t="s">
        <v>386</v>
      </c>
      <c r="C31" s="211" t="s">
        <v>80</v>
      </c>
      <c r="D31" s="211">
        <v>151332</v>
      </c>
      <c r="E31" s="205">
        <v>1</v>
      </c>
      <c r="F31" s="201"/>
      <c r="G31" s="201">
        <v>431.8</v>
      </c>
      <c r="H31" s="201"/>
      <c r="I31" s="201">
        <f t="shared" si="1"/>
        <v>431.8</v>
      </c>
      <c r="J31" s="206">
        <f t="shared" si="0"/>
        <v>431.8</v>
      </c>
    </row>
    <row r="32" spans="2:10" ht="51" customHeight="1">
      <c r="B32" s="207" t="s">
        <v>208</v>
      </c>
      <c r="C32" s="211" t="s">
        <v>80</v>
      </c>
      <c r="D32" s="212">
        <v>151322</v>
      </c>
      <c r="E32" s="205">
        <v>1</v>
      </c>
      <c r="F32" s="201"/>
      <c r="G32" s="201">
        <v>69.47</v>
      </c>
      <c r="H32" s="201"/>
      <c r="I32" s="201">
        <f t="shared" si="1"/>
        <v>69.47</v>
      </c>
      <c r="J32" s="206">
        <f>I32*E32</f>
        <v>69.47</v>
      </c>
    </row>
    <row r="33" spans="2:10">
      <c r="B33" s="385" t="s">
        <v>59</v>
      </c>
      <c r="C33" s="403"/>
      <c r="D33" s="403"/>
      <c r="E33" s="386"/>
      <c r="F33" s="386"/>
      <c r="G33" s="386"/>
      <c r="H33" s="386"/>
      <c r="I33" s="387"/>
      <c r="J33" s="87">
        <f>ROUND(SUM(J27:J32),2)</f>
        <v>5421.72</v>
      </c>
    </row>
    <row r="34" spans="2:10">
      <c r="B34" s="388"/>
      <c r="C34" s="388"/>
      <c r="D34" s="388"/>
      <c r="E34" s="388"/>
      <c r="F34" s="388"/>
      <c r="G34" s="388"/>
      <c r="H34" s="388"/>
      <c r="I34" s="388"/>
      <c r="J34" s="388"/>
    </row>
    <row r="35" spans="2:10" ht="30">
      <c r="B35" s="80" t="s">
        <v>61</v>
      </c>
      <c r="C35" s="81" t="s">
        <v>51</v>
      </c>
      <c r="D35" s="81" t="s">
        <v>52</v>
      </c>
      <c r="E35" s="82" t="s">
        <v>53</v>
      </c>
      <c r="F35" s="82" t="s">
        <v>54</v>
      </c>
      <c r="G35" s="82" t="s">
        <v>55</v>
      </c>
      <c r="H35" s="82" t="s">
        <v>56</v>
      </c>
      <c r="I35" s="82" t="s">
        <v>57</v>
      </c>
      <c r="J35" s="82" t="s">
        <v>58</v>
      </c>
    </row>
    <row r="36" spans="2:10">
      <c r="B36" s="83"/>
      <c r="C36" s="84"/>
      <c r="D36" s="84"/>
      <c r="E36" s="85"/>
      <c r="F36" s="85"/>
      <c r="G36" s="85"/>
      <c r="H36" s="85"/>
      <c r="I36" s="85"/>
      <c r="J36" s="88"/>
    </row>
    <row r="37" spans="2:10">
      <c r="B37" s="385" t="s">
        <v>59</v>
      </c>
      <c r="C37" s="386"/>
      <c r="D37" s="386"/>
      <c r="E37" s="386"/>
      <c r="F37" s="386"/>
      <c r="G37" s="386"/>
      <c r="H37" s="386"/>
      <c r="I37" s="387"/>
      <c r="J37" s="87">
        <f>ROUND(SUM(J36:J36),2)</f>
        <v>0</v>
      </c>
    </row>
    <row r="38" spans="2:10">
      <c r="B38" s="122"/>
      <c r="C38" s="79"/>
      <c r="D38" s="79"/>
      <c r="E38" s="79"/>
      <c r="F38" s="79"/>
      <c r="G38" s="79"/>
      <c r="H38" s="79"/>
      <c r="I38" s="79"/>
      <c r="J38" s="79"/>
    </row>
    <row r="39" spans="2:10">
      <c r="B39" s="389" t="s">
        <v>62</v>
      </c>
      <c r="C39" s="389"/>
      <c r="D39" s="389"/>
      <c r="E39" s="389"/>
      <c r="F39" s="389"/>
      <c r="G39" s="389"/>
      <c r="H39" s="79"/>
      <c r="I39" s="79"/>
      <c r="J39" s="79"/>
    </row>
    <row r="40" spans="2:10">
      <c r="B40" s="380" t="s">
        <v>63</v>
      </c>
      <c r="C40" s="381"/>
      <c r="D40" s="381"/>
      <c r="E40" s="382"/>
      <c r="F40" s="82" t="s">
        <v>64</v>
      </c>
      <c r="G40" s="82" t="s">
        <v>65</v>
      </c>
      <c r="H40" s="79"/>
      <c r="I40" s="79"/>
      <c r="J40" s="79"/>
    </row>
    <row r="41" spans="2:10">
      <c r="B41" s="372" t="s">
        <v>66</v>
      </c>
      <c r="C41" s="373"/>
      <c r="D41" s="373"/>
      <c r="E41" s="374"/>
      <c r="F41" s="375">
        <f>$J$10</f>
        <v>1.5727</v>
      </c>
      <c r="G41" s="89">
        <f>J24</f>
        <v>402.08</v>
      </c>
      <c r="H41" s="79"/>
      <c r="I41" s="79"/>
      <c r="J41" s="79"/>
    </row>
    <row r="42" spans="2:10">
      <c r="B42" s="372" t="s">
        <v>67</v>
      </c>
      <c r="C42" s="373"/>
      <c r="D42" s="373"/>
      <c r="E42" s="374"/>
      <c r="F42" s="383"/>
      <c r="G42" s="89">
        <f>J33</f>
        <v>5421.72</v>
      </c>
      <c r="H42" s="79"/>
      <c r="I42" s="79"/>
      <c r="J42" s="79"/>
    </row>
    <row r="43" spans="2:10">
      <c r="B43" s="372" t="s">
        <v>68</v>
      </c>
      <c r="C43" s="373"/>
      <c r="D43" s="373"/>
      <c r="E43" s="374"/>
      <c r="F43" s="383"/>
      <c r="G43" s="89">
        <f>J37</f>
        <v>0</v>
      </c>
      <c r="H43" s="79"/>
      <c r="I43" s="79"/>
      <c r="J43" s="79"/>
    </row>
    <row r="44" spans="2:10">
      <c r="B44" s="372" t="s">
        <v>69</v>
      </c>
      <c r="C44" s="373"/>
      <c r="D44" s="373"/>
      <c r="E44" s="374"/>
      <c r="F44" s="383"/>
      <c r="G44" s="89">
        <v>1</v>
      </c>
      <c r="H44" s="79"/>
      <c r="I44" s="79"/>
      <c r="J44" s="79"/>
    </row>
    <row r="45" spans="2:10">
      <c r="B45" s="372" t="s">
        <v>70</v>
      </c>
      <c r="C45" s="373"/>
      <c r="D45" s="373"/>
      <c r="E45" s="374"/>
      <c r="F45" s="383"/>
      <c r="G45" s="89">
        <f>G41+G43</f>
        <v>402.08</v>
      </c>
      <c r="H45" s="79"/>
      <c r="I45" s="79"/>
      <c r="J45" s="79"/>
    </row>
    <row r="46" spans="2:10">
      <c r="B46" s="372" t="s">
        <v>71</v>
      </c>
      <c r="C46" s="373"/>
      <c r="D46" s="373"/>
      <c r="E46" s="374"/>
      <c r="F46" s="383"/>
      <c r="G46" s="89">
        <f>G45/G44</f>
        <v>402.08</v>
      </c>
      <c r="H46" s="79"/>
      <c r="I46" s="79"/>
      <c r="J46" s="79"/>
    </row>
    <row r="47" spans="2:10">
      <c r="B47" s="372" t="s">
        <v>72</v>
      </c>
      <c r="C47" s="373"/>
      <c r="D47" s="373"/>
      <c r="E47" s="374"/>
      <c r="F47" s="376"/>
      <c r="G47" s="89">
        <f>G42+G46</f>
        <v>5823.8</v>
      </c>
      <c r="H47" s="79"/>
      <c r="I47" s="79"/>
      <c r="J47" s="79"/>
    </row>
    <row r="48" spans="2:10">
      <c r="B48" s="372" t="s">
        <v>73</v>
      </c>
      <c r="C48" s="373"/>
      <c r="D48" s="373"/>
      <c r="E48" s="374"/>
      <c r="F48" s="375">
        <f>$J$11</f>
        <v>0.28236215718070978</v>
      </c>
      <c r="G48" s="89">
        <f>G47*F48</f>
        <v>1644.4207309890178</v>
      </c>
      <c r="H48" s="79"/>
      <c r="I48" s="79"/>
      <c r="J48" s="79"/>
    </row>
    <row r="49" spans="2:10">
      <c r="B49" s="377" t="s">
        <v>74</v>
      </c>
      <c r="C49" s="378"/>
      <c r="D49" s="378"/>
      <c r="E49" s="379"/>
      <c r="F49" s="376"/>
      <c r="G49" s="87">
        <f>ROUND(SUM(G47+G48),2)</f>
        <v>7468.22</v>
      </c>
      <c r="H49" s="79"/>
      <c r="I49" s="79"/>
      <c r="J49" s="79"/>
    </row>
    <row r="51" spans="2:10" ht="15.75" thickBot="1"/>
    <row r="52" spans="2:10" ht="15.75" customHeight="1" thickBot="1">
      <c r="B52" s="390" t="s">
        <v>42</v>
      </c>
      <c r="C52" s="391"/>
      <c r="D52" s="391"/>
      <c r="E52" s="391"/>
      <c r="F52" s="391"/>
      <c r="G52" s="391"/>
      <c r="H52" s="391"/>
      <c r="I52" s="391"/>
      <c r="J52" s="392"/>
    </row>
    <row r="53" spans="2:10">
      <c r="B53" s="393" t="s">
        <v>225</v>
      </c>
      <c r="C53" s="68" t="s">
        <v>43</v>
      </c>
      <c r="D53" s="69">
        <v>3</v>
      </c>
      <c r="E53" s="70" t="s">
        <v>44</v>
      </c>
      <c r="F53" s="71">
        <v>2022</v>
      </c>
      <c r="G53" s="72"/>
      <c r="H53" s="72"/>
      <c r="I53" s="70" t="s">
        <v>45</v>
      </c>
      <c r="J53" s="144" t="s">
        <v>424</v>
      </c>
    </row>
    <row r="54" spans="2:10">
      <c r="B54" s="394"/>
      <c r="C54" s="73" t="s">
        <v>46</v>
      </c>
      <c r="D54" s="396" t="s">
        <v>75</v>
      </c>
      <c r="E54" s="397"/>
      <c r="F54" s="74"/>
      <c r="G54" s="74"/>
      <c r="H54" s="74"/>
      <c r="I54" s="74"/>
      <c r="J54" s="75"/>
    </row>
    <row r="55" spans="2:10" ht="31.5" customHeight="1">
      <c r="B55" s="394"/>
      <c r="C55" s="73" t="s">
        <v>48</v>
      </c>
      <c r="D55" s="398" t="s">
        <v>476</v>
      </c>
      <c r="E55" s="399"/>
      <c r="F55" s="399"/>
      <c r="G55" s="399"/>
      <c r="H55" s="399"/>
      <c r="I55" s="399"/>
      <c r="J55" s="400"/>
    </row>
    <row r="56" spans="2:10" ht="15.75" thickBot="1">
      <c r="B56" s="395"/>
      <c r="C56" s="76" t="s">
        <v>49</v>
      </c>
      <c r="D56" s="123" t="s">
        <v>77</v>
      </c>
      <c r="E56" s="77"/>
      <c r="F56" s="77"/>
      <c r="G56" s="77"/>
      <c r="H56" s="77"/>
      <c r="I56" s="77"/>
      <c r="J56" s="78"/>
    </row>
    <row r="57" spans="2:10">
      <c r="B57" s="122"/>
      <c r="C57" s="79"/>
      <c r="D57" s="79"/>
      <c r="E57" s="79"/>
      <c r="F57" s="79"/>
      <c r="G57" s="79"/>
      <c r="H57" s="79"/>
      <c r="I57" s="79"/>
      <c r="J57" s="79"/>
    </row>
    <row r="58" spans="2:10" ht="30">
      <c r="B58" s="80" t="s">
        <v>50</v>
      </c>
      <c r="C58" s="81" t="s">
        <v>51</v>
      </c>
      <c r="D58" s="81" t="s">
        <v>52</v>
      </c>
      <c r="E58" s="82" t="s">
        <v>53</v>
      </c>
      <c r="F58" s="82" t="s">
        <v>54</v>
      </c>
      <c r="G58" s="82" t="s">
        <v>55</v>
      </c>
      <c r="H58" s="82" t="s">
        <v>56</v>
      </c>
      <c r="I58" s="82" t="s">
        <v>57</v>
      </c>
      <c r="J58" s="82" t="s">
        <v>58</v>
      </c>
    </row>
    <row r="59" spans="2:10">
      <c r="B59" s="120" t="s">
        <v>223</v>
      </c>
      <c r="C59" s="84" t="s">
        <v>39</v>
      </c>
      <c r="D59" s="121">
        <v>88247</v>
      </c>
      <c r="E59" s="85">
        <v>0.2</v>
      </c>
      <c r="F59" s="85">
        <v>1</v>
      </c>
      <c r="G59" s="91">
        <v>23.53</v>
      </c>
      <c r="H59" s="85">
        <v>0</v>
      </c>
      <c r="I59" s="92">
        <f>G59</f>
        <v>23.53</v>
      </c>
      <c r="J59" s="86">
        <f>I59*E59</f>
        <v>4.7060000000000004</v>
      </c>
    </row>
    <row r="60" spans="2:10">
      <c r="B60" s="120" t="s">
        <v>224</v>
      </c>
      <c r="C60" s="84" t="s">
        <v>39</v>
      </c>
      <c r="D60" s="84">
        <v>88264</v>
      </c>
      <c r="E60" s="85">
        <v>0.2</v>
      </c>
      <c r="F60" s="85">
        <v>1</v>
      </c>
      <c r="G60" s="91">
        <v>26.73</v>
      </c>
      <c r="H60" s="85">
        <v>0</v>
      </c>
      <c r="I60" s="92">
        <f>G60</f>
        <v>26.73</v>
      </c>
      <c r="J60" s="86">
        <f>I60*E60</f>
        <v>5.3460000000000001</v>
      </c>
    </row>
    <row r="61" spans="2:10">
      <c r="B61" s="83"/>
      <c r="C61" s="83"/>
      <c r="D61" s="84"/>
      <c r="E61" s="84"/>
      <c r="F61" s="85"/>
      <c r="G61" s="85"/>
      <c r="H61" s="85"/>
      <c r="I61" s="85"/>
      <c r="J61" s="86"/>
    </row>
    <row r="62" spans="2:10">
      <c r="B62" s="385" t="s">
        <v>59</v>
      </c>
      <c r="C62" s="386"/>
      <c r="D62" s="386"/>
      <c r="E62" s="386"/>
      <c r="F62" s="386"/>
      <c r="G62" s="386"/>
      <c r="H62" s="386"/>
      <c r="I62" s="387"/>
      <c r="J62" s="87">
        <f>ROUND(SUM(J59:J61),2)</f>
        <v>10.050000000000001</v>
      </c>
    </row>
    <row r="63" spans="2:10">
      <c r="B63" s="384"/>
      <c r="C63" s="384"/>
      <c r="D63" s="384"/>
      <c r="E63" s="384"/>
      <c r="F63" s="384"/>
      <c r="G63" s="384"/>
      <c r="H63" s="384"/>
      <c r="I63" s="384"/>
      <c r="J63" s="384"/>
    </row>
    <row r="64" spans="2:10" ht="30">
      <c r="B64" s="80" t="s">
        <v>60</v>
      </c>
      <c r="C64" s="81" t="s">
        <v>51</v>
      </c>
      <c r="D64" s="81" t="s">
        <v>52</v>
      </c>
      <c r="E64" s="82" t="s">
        <v>53</v>
      </c>
      <c r="F64" s="82" t="s">
        <v>54</v>
      </c>
      <c r="G64" s="82" t="s">
        <v>55</v>
      </c>
      <c r="H64" s="82" t="s">
        <v>56</v>
      </c>
      <c r="I64" s="82" t="s">
        <v>57</v>
      </c>
      <c r="J64" s="82" t="s">
        <v>58</v>
      </c>
    </row>
    <row r="65" spans="2:10" ht="51" customHeight="1">
      <c r="B65" s="200" t="s">
        <v>477</v>
      </c>
      <c r="C65" s="213" t="s">
        <v>172</v>
      </c>
      <c r="D65" s="208">
        <v>1571</v>
      </c>
      <c r="E65" s="150">
        <v>3</v>
      </c>
      <c r="F65" s="151"/>
      <c r="G65" s="404">
        <v>1.24</v>
      </c>
      <c r="H65" s="405"/>
      <c r="I65" s="85">
        <f>G65</f>
        <v>1.24</v>
      </c>
      <c r="J65" s="86">
        <f>I65*E65</f>
        <v>3.7199999999999998</v>
      </c>
    </row>
    <row r="66" spans="2:10" ht="51" customHeight="1">
      <c r="B66" s="200" t="s">
        <v>478</v>
      </c>
      <c r="C66" s="209" t="s">
        <v>172</v>
      </c>
      <c r="D66" s="208">
        <v>1625</v>
      </c>
      <c r="E66" s="150">
        <v>1</v>
      </c>
      <c r="F66" s="151"/>
      <c r="G66" s="404">
        <v>274.57</v>
      </c>
      <c r="H66" s="405"/>
      <c r="I66" s="85">
        <f>G66</f>
        <v>274.57</v>
      </c>
      <c r="J66" s="86">
        <f>I66*E66</f>
        <v>274.57</v>
      </c>
    </row>
    <row r="67" spans="2:10">
      <c r="B67" s="385" t="s">
        <v>59</v>
      </c>
      <c r="C67" s="403"/>
      <c r="D67" s="386"/>
      <c r="E67" s="386"/>
      <c r="F67" s="386"/>
      <c r="G67" s="386"/>
      <c r="H67" s="386"/>
      <c r="I67" s="387"/>
      <c r="J67" s="87">
        <f>SUM(J65:J66)</f>
        <v>278.29000000000002</v>
      </c>
    </row>
    <row r="68" spans="2:10">
      <c r="B68" s="388"/>
      <c r="C68" s="388"/>
      <c r="D68" s="388"/>
      <c r="E68" s="388"/>
      <c r="F68" s="388"/>
      <c r="G68" s="388"/>
      <c r="H68" s="388"/>
      <c r="I68" s="388"/>
      <c r="J68" s="388"/>
    </row>
    <row r="69" spans="2:10" ht="30">
      <c r="B69" s="80" t="s">
        <v>61</v>
      </c>
      <c r="C69" s="81" t="s">
        <v>51</v>
      </c>
      <c r="D69" s="81" t="s">
        <v>52</v>
      </c>
      <c r="E69" s="82" t="s">
        <v>53</v>
      </c>
      <c r="F69" s="82" t="s">
        <v>54</v>
      </c>
      <c r="G69" s="82" t="s">
        <v>55</v>
      </c>
      <c r="H69" s="82" t="s">
        <v>56</v>
      </c>
      <c r="I69" s="82" t="s">
        <v>57</v>
      </c>
      <c r="J69" s="82" t="s">
        <v>58</v>
      </c>
    </row>
    <row r="70" spans="2:10">
      <c r="B70" s="83"/>
      <c r="C70" s="84"/>
      <c r="D70" s="84"/>
      <c r="E70" s="85"/>
      <c r="F70" s="85"/>
      <c r="G70" s="85"/>
      <c r="H70" s="85"/>
      <c r="I70" s="85"/>
      <c r="J70" s="88"/>
    </row>
    <row r="71" spans="2:10">
      <c r="B71" s="385" t="s">
        <v>59</v>
      </c>
      <c r="C71" s="386"/>
      <c r="D71" s="386"/>
      <c r="E71" s="386"/>
      <c r="F71" s="386"/>
      <c r="G71" s="386"/>
      <c r="H71" s="386"/>
      <c r="I71" s="387"/>
      <c r="J71" s="87">
        <f>ROUND(SUM(J70:J70),2)</f>
        <v>0</v>
      </c>
    </row>
    <row r="72" spans="2:10">
      <c r="B72" s="122"/>
      <c r="C72" s="79"/>
      <c r="D72" s="79"/>
      <c r="E72" s="79"/>
      <c r="F72" s="79"/>
      <c r="G72" s="79"/>
      <c r="H72" s="79"/>
      <c r="I72" s="79"/>
      <c r="J72" s="79"/>
    </row>
    <row r="73" spans="2:10">
      <c r="B73" s="389" t="s">
        <v>62</v>
      </c>
      <c r="C73" s="389"/>
      <c r="D73" s="389"/>
      <c r="E73" s="389"/>
      <c r="F73" s="389"/>
      <c r="G73" s="389"/>
      <c r="H73" s="79"/>
      <c r="I73" s="79"/>
      <c r="J73" s="79"/>
    </row>
    <row r="74" spans="2:10">
      <c r="B74" s="380" t="s">
        <v>63</v>
      </c>
      <c r="C74" s="381"/>
      <c r="D74" s="381"/>
      <c r="E74" s="382"/>
      <c r="F74" s="82" t="s">
        <v>64</v>
      </c>
      <c r="G74" s="82" t="s">
        <v>65</v>
      </c>
      <c r="H74" s="79"/>
      <c r="I74" s="79"/>
      <c r="J74" s="79"/>
    </row>
    <row r="75" spans="2:10">
      <c r="B75" s="372" t="s">
        <v>66</v>
      </c>
      <c r="C75" s="373"/>
      <c r="D75" s="373"/>
      <c r="E75" s="374"/>
      <c r="F75" s="375">
        <f>$J$10</f>
        <v>1.5727</v>
      </c>
      <c r="G75" s="89">
        <f>J62</f>
        <v>10.050000000000001</v>
      </c>
      <c r="H75" s="79"/>
      <c r="I75" s="79"/>
      <c r="J75" s="79"/>
    </row>
    <row r="76" spans="2:10">
      <c r="B76" s="372" t="s">
        <v>67</v>
      </c>
      <c r="C76" s="373"/>
      <c r="D76" s="373"/>
      <c r="E76" s="374"/>
      <c r="F76" s="383"/>
      <c r="G76" s="89">
        <f>J67</f>
        <v>278.29000000000002</v>
      </c>
      <c r="H76" s="79"/>
      <c r="I76" s="79"/>
      <c r="J76" s="79"/>
    </row>
    <row r="77" spans="2:10">
      <c r="B77" s="372" t="s">
        <v>68</v>
      </c>
      <c r="C77" s="373"/>
      <c r="D77" s="373"/>
      <c r="E77" s="374"/>
      <c r="F77" s="383"/>
      <c r="G77" s="89">
        <f>J71</f>
        <v>0</v>
      </c>
      <c r="H77" s="79"/>
      <c r="I77" s="79"/>
      <c r="J77" s="79"/>
    </row>
    <row r="78" spans="2:10">
      <c r="B78" s="372" t="s">
        <v>69</v>
      </c>
      <c r="C78" s="373"/>
      <c r="D78" s="373"/>
      <c r="E78" s="374"/>
      <c r="F78" s="383"/>
      <c r="G78" s="89">
        <v>1</v>
      </c>
      <c r="H78" s="79"/>
      <c r="I78" s="79"/>
      <c r="J78" s="79"/>
    </row>
    <row r="79" spans="2:10">
      <c r="B79" s="372" t="s">
        <v>70</v>
      </c>
      <c r="C79" s="373"/>
      <c r="D79" s="373"/>
      <c r="E79" s="374"/>
      <c r="F79" s="383"/>
      <c r="G79" s="89">
        <f>G75+G77</f>
        <v>10.050000000000001</v>
      </c>
      <c r="H79" s="79"/>
      <c r="I79" s="79"/>
      <c r="J79" s="79"/>
    </row>
    <row r="80" spans="2:10">
      <c r="B80" s="372" t="s">
        <v>71</v>
      </c>
      <c r="C80" s="373"/>
      <c r="D80" s="373"/>
      <c r="E80" s="374"/>
      <c r="F80" s="383"/>
      <c r="G80" s="89">
        <f>G79/G78</f>
        <v>10.050000000000001</v>
      </c>
      <c r="H80" s="79"/>
      <c r="I80" s="79"/>
      <c r="J80" s="79"/>
    </row>
    <row r="81" spans="2:10">
      <c r="B81" s="372" t="s">
        <v>72</v>
      </c>
      <c r="C81" s="373"/>
      <c r="D81" s="373"/>
      <c r="E81" s="374"/>
      <c r="F81" s="376"/>
      <c r="G81" s="89">
        <f>G76+G80</f>
        <v>288.34000000000003</v>
      </c>
      <c r="H81" s="79"/>
      <c r="I81" s="79"/>
      <c r="J81" s="79"/>
    </row>
    <row r="82" spans="2:10">
      <c r="B82" s="372" t="s">
        <v>73</v>
      </c>
      <c r="C82" s="373"/>
      <c r="D82" s="373"/>
      <c r="E82" s="374"/>
      <c r="F82" s="375">
        <f>$J$11</f>
        <v>0.28236215718070978</v>
      </c>
      <c r="G82" s="89">
        <f>G81*F82</f>
        <v>81.416304401485874</v>
      </c>
      <c r="H82" s="79"/>
      <c r="I82" s="79"/>
      <c r="J82" s="79"/>
    </row>
    <row r="83" spans="2:10">
      <c r="B83" s="377" t="s">
        <v>74</v>
      </c>
      <c r="C83" s="378"/>
      <c r="D83" s="378"/>
      <c r="E83" s="379"/>
      <c r="F83" s="376"/>
      <c r="G83" s="87">
        <f>ROUND(SUM(G81+G82),2)</f>
        <v>369.76</v>
      </c>
      <c r="H83" s="79"/>
      <c r="I83" s="79"/>
      <c r="J83" s="79"/>
    </row>
    <row r="84" spans="2:10" ht="15.75" thickBot="1"/>
    <row r="85" spans="2:10" ht="15.75" thickBot="1">
      <c r="B85" s="390" t="s">
        <v>42</v>
      </c>
      <c r="C85" s="391"/>
      <c r="D85" s="391"/>
      <c r="E85" s="391"/>
      <c r="F85" s="391"/>
      <c r="G85" s="391"/>
      <c r="H85" s="391"/>
      <c r="I85" s="391"/>
      <c r="J85" s="392"/>
    </row>
    <row r="86" spans="2:10">
      <c r="B86" s="393" t="s">
        <v>709</v>
      </c>
      <c r="C86" s="68" t="s">
        <v>43</v>
      </c>
      <c r="D86" s="69">
        <v>12</v>
      </c>
      <c r="E86" s="70" t="s">
        <v>44</v>
      </c>
      <c r="F86" s="71">
        <v>2022</v>
      </c>
      <c r="G86" s="72"/>
      <c r="H86" s="72"/>
      <c r="I86" s="70" t="s">
        <v>45</v>
      </c>
      <c r="J86" s="144" t="s">
        <v>318</v>
      </c>
    </row>
    <row r="87" spans="2:10">
      <c r="B87" s="394"/>
      <c r="C87" s="73" t="s">
        <v>46</v>
      </c>
      <c r="D87" s="396" t="s">
        <v>115</v>
      </c>
      <c r="E87" s="397"/>
      <c r="F87" s="74"/>
      <c r="G87" s="74"/>
      <c r="H87" s="74"/>
      <c r="I87" s="74"/>
      <c r="J87" s="75"/>
    </row>
    <row r="88" spans="2:10" ht="30">
      <c r="B88" s="394"/>
      <c r="C88" s="73" t="s">
        <v>48</v>
      </c>
      <c r="D88" s="398" t="s">
        <v>732</v>
      </c>
      <c r="E88" s="399"/>
      <c r="F88" s="399"/>
      <c r="G88" s="399"/>
      <c r="H88" s="399"/>
      <c r="I88" s="399"/>
      <c r="J88" s="400"/>
    </row>
    <row r="89" spans="2:10" ht="15.75" thickBot="1">
      <c r="B89" s="395"/>
      <c r="C89" s="76" t="s">
        <v>49</v>
      </c>
      <c r="D89" s="123" t="s">
        <v>77</v>
      </c>
      <c r="E89" s="77"/>
      <c r="F89" s="77"/>
      <c r="G89" s="77"/>
      <c r="H89" s="77"/>
      <c r="I89" s="77"/>
      <c r="J89" s="78"/>
    </row>
    <row r="90" spans="2:10">
      <c r="B90" s="122"/>
      <c r="C90" s="79"/>
      <c r="D90" s="79"/>
      <c r="E90" s="79"/>
      <c r="F90" s="79"/>
      <c r="G90" s="79"/>
      <c r="H90" s="79"/>
      <c r="I90" s="79"/>
      <c r="J90" s="79"/>
    </row>
    <row r="91" spans="2:10" ht="30">
      <c r="B91" s="80" t="s">
        <v>50</v>
      </c>
      <c r="C91" s="81" t="s">
        <v>51</v>
      </c>
      <c r="D91" s="81" t="s">
        <v>52</v>
      </c>
      <c r="E91" s="82" t="s">
        <v>53</v>
      </c>
      <c r="F91" s="82" t="s">
        <v>54</v>
      </c>
      <c r="G91" s="82" t="s">
        <v>55</v>
      </c>
      <c r="H91" s="82" t="s">
        <v>56</v>
      </c>
      <c r="I91" s="82" t="s">
        <v>57</v>
      </c>
      <c r="J91" s="82" t="s">
        <v>58</v>
      </c>
    </row>
    <row r="92" spans="2:10">
      <c r="B92" s="120" t="s">
        <v>711</v>
      </c>
      <c r="C92" s="121" t="s">
        <v>653</v>
      </c>
      <c r="D92" s="84">
        <v>10101</v>
      </c>
      <c r="E92" s="84">
        <v>400</v>
      </c>
      <c r="F92" s="85">
        <v>1</v>
      </c>
      <c r="G92" s="85">
        <v>7</v>
      </c>
      <c r="H92" s="85"/>
      <c r="I92" s="85">
        <f>ROUND(G92*(1+1.5727),2)</f>
        <v>18.010000000000002</v>
      </c>
      <c r="J92" s="86">
        <f>I92*E92</f>
        <v>7204.0000000000009</v>
      </c>
    </row>
    <row r="93" spans="2:10">
      <c r="B93" s="120" t="s">
        <v>710</v>
      </c>
      <c r="C93" s="121" t="s">
        <v>653</v>
      </c>
      <c r="D93" s="84">
        <v>10115</v>
      </c>
      <c r="E93" s="84">
        <v>400</v>
      </c>
      <c r="F93" s="85">
        <v>1</v>
      </c>
      <c r="G93" s="85">
        <v>8.3000000000000007</v>
      </c>
      <c r="H93" s="85"/>
      <c r="I93" s="85">
        <f t="shared" ref="I93" si="3">ROUND(G93*(1+1.5727),2)</f>
        <v>21.35</v>
      </c>
      <c r="J93" s="86">
        <f t="shared" ref="J93" si="4">I93*E93</f>
        <v>8540</v>
      </c>
    </row>
    <row r="95" spans="2:10">
      <c r="B95" s="385" t="s">
        <v>59</v>
      </c>
      <c r="C95" s="386"/>
      <c r="D95" s="386"/>
      <c r="E95" s="386"/>
      <c r="F95" s="386"/>
      <c r="G95" s="386"/>
      <c r="H95" s="386"/>
      <c r="I95" s="387"/>
      <c r="J95" s="87">
        <f>ROUND(SUM(J92:J93),2)</f>
        <v>15744</v>
      </c>
    </row>
    <row r="96" spans="2:10">
      <c r="B96" s="384"/>
      <c r="C96" s="384"/>
      <c r="D96" s="384"/>
      <c r="E96" s="384"/>
      <c r="F96" s="384"/>
      <c r="G96" s="384"/>
      <c r="H96" s="384"/>
      <c r="I96" s="384"/>
      <c r="J96" s="384"/>
    </row>
    <row r="97" spans="2:10" ht="30">
      <c r="B97" s="80" t="s">
        <v>60</v>
      </c>
      <c r="C97" s="81" t="s">
        <v>51</v>
      </c>
      <c r="D97" s="81" t="s">
        <v>52</v>
      </c>
      <c r="E97" s="82" t="s">
        <v>53</v>
      </c>
      <c r="F97" s="82" t="s">
        <v>54</v>
      </c>
      <c r="G97" s="82" t="s">
        <v>55</v>
      </c>
      <c r="H97" s="82" t="s">
        <v>56</v>
      </c>
      <c r="I97" s="82" t="s">
        <v>57</v>
      </c>
      <c r="J97" s="82" t="s">
        <v>58</v>
      </c>
    </row>
    <row r="98" spans="2:10">
      <c r="B98" s="120"/>
      <c r="C98" s="84"/>
      <c r="D98" s="266"/>
      <c r="E98" s="85"/>
      <c r="F98" s="85"/>
      <c r="G98" s="267"/>
      <c r="H98" s="85"/>
      <c r="I98" s="85">
        <f>G98</f>
        <v>0</v>
      </c>
      <c r="J98" s="86">
        <f>I98*E98</f>
        <v>0</v>
      </c>
    </row>
    <row r="99" spans="2:10">
      <c r="B99" s="83"/>
      <c r="C99" s="83"/>
      <c r="D99" s="84"/>
      <c r="E99" s="84"/>
      <c r="F99" s="85"/>
      <c r="G99" s="85"/>
      <c r="H99" s="85"/>
      <c r="I99" s="85"/>
      <c r="J99" s="86"/>
    </row>
    <row r="100" spans="2:10">
      <c r="B100" s="385" t="s">
        <v>59</v>
      </c>
      <c r="C100" s="386"/>
      <c r="D100" s="386"/>
      <c r="E100" s="386"/>
      <c r="F100" s="386"/>
      <c r="G100" s="386"/>
      <c r="H100" s="386"/>
      <c r="I100" s="387"/>
      <c r="J100" s="87">
        <f>ROUND(SUM(J98:J99),2)</f>
        <v>0</v>
      </c>
    </row>
    <row r="101" spans="2:10">
      <c r="B101" s="388"/>
      <c r="C101" s="388"/>
      <c r="D101" s="388"/>
      <c r="E101" s="388"/>
      <c r="F101" s="388"/>
      <c r="G101" s="388"/>
      <c r="H101" s="388"/>
      <c r="I101" s="388"/>
      <c r="J101" s="388"/>
    </row>
    <row r="102" spans="2:10" ht="30">
      <c r="B102" s="80" t="s">
        <v>61</v>
      </c>
      <c r="C102" s="81" t="s">
        <v>51</v>
      </c>
      <c r="D102" s="81" t="s">
        <v>52</v>
      </c>
      <c r="E102" s="82" t="s">
        <v>53</v>
      </c>
      <c r="F102" s="82" t="s">
        <v>54</v>
      </c>
      <c r="G102" s="82" t="s">
        <v>55</v>
      </c>
      <c r="H102" s="82" t="s">
        <v>56</v>
      </c>
      <c r="I102" s="82" t="s">
        <v>57</v>
      </c>
      <c r="J102" s="82" t="s">
        <v>58</v>
      </c>
    </row>
    <row r="103" spans="2:10" ht="45">
      <c r="B103" s="120" t="s">
        <v>712</v>
      </c>
      <c r="C103" s="121" t="s">
        <v>39</v>
      </c>
      <c r="D103" s="121" t="s">
        <v>713</v>
      </c>
      <c r="E103" s="85">
        <v>50</v>
      </c>
      <c r="F103" s="85">
        <v>1</v>
      </c>
      <c r="G103" s="85">
        <v>227.61</v>
      </c>
      <c r="H103" s="85"/>
      <c r="I103" s="296">
        <f>G103</f>
        <v>227.61</v>
      </c>
      <c r="J103" s="86">
        <f>I103*E103</f>
        <v>11380.5</v>
      </c>
    </row>
    <row r="104" spans="2:10">
      <c r="B104" s="83"/>
      <c r="C104" s="83"/>
      <c r="D104" s="84"/>
      <c r="E104" s="84"/>
      <c r="F104" s="85"/>
      <c r="G104" s="85"/>
      <c r="H104" s="85"/>
      <c r="I104" s="85"/>
      <c r="J104" s="88"/>
    </row>
    <row r="105" spans="2:10">
      <c r="B105" s="385" t="s">
        <v>59</v>
      </c>
      <c r="C105" s="386"/>
      <c r="D105" s="386"/>
      <c r="E105" s="386"/>
      <c r="F105" s="386"/>
      <c r="G105" s="386"/>
      <c r="H105" s="386"/>
      <c r="I105" s="387"/>
      <c r="J105" s="87">
        <f>ROUND(SUM(J103:J104),2)</f>
        <v>11380.5</v>
      </c>
    </row>
    <row r="106" spans="2:10">
      <c r="B106" s="122"/>
      <c r="C106" s="79"/>
      <c r="D106" s="79"/>
      <c r="E106" s="79"/>
      <c r="F106" s="79"/>
      <c r="G106" s="79"/>
      <c r="H106" s="79"/>
      <c r="I106" s="79"/>
      <c r="J106" s="79"/>
    </row>
    <row r="107" spans="2:10">
      <c r="B107" s="389" t="s">
        <v>62</v>
      </c>
      <c r="C107" s="389"/>
      <c r="D107" s="389"/>
      <c r="E107" s="389"/>
      <c r="F107" s="389"/>
      <c r="G107" s="389"/>
      <c r="H107" s="79"/>
      <c r="I107" s="79"/>
      <c r="J107" s="79"/>
    </row>
    <row r="108" spans="2:10">
      <c r="B108" s="380" t="s">
        <v>63</v>
      </c>
      <c r="C108" s="381"/>
      <c r="D108" s="381"/>
      <c r="E108" s="382"/>
      <c r="F108" s="82" t="s">
        <v>64</v>
      </c>
      <c r="G108" s="82" t="s">
        <v>65</v>
      </c>
      <c r="H108" s="79"/>
      <c r="I108" s="79"/>
      <c r="J108" s="79"/>
    </row>
    <row r="109" spans="2:10">
      <c r="B109" s="372" t="s">
        <v>66</v>
      </c>
      <c r="C109" s="373"/>
      <c r="D109" s="373"/>
      <c r="E109" s="374"/>
      <c r="F109" s="375">
        <f>J10</f>
        <v>1.5727</v>
      </c>
      <c r="G109" s="89">
        <f>J95</f>
        <v>15744</v>
      </c>
      <c r="H109" s="79"/>
      <c r="I109" s="79"/>
      <c r="J109" s="79"/>
    </row>
    <row r="110" spans="2:10">
      <c r="B110" s="372" t="s">
        <v>67</v>
      </c>
      <c r="C110" s="373"/>
      <c r="D110" s="373"/>
      <c r="E110" s="374"/>
      <c r="F110" s="383"/>
      <c r="G110" s="89">
        <f>J100</f>
        <v>0</v>
      </c>
      <c r="H110" s="79"/>
      <c r="I110" s="79"/>
      <c r="J110" s="79"/>
    </row>
    <row r="111" spans="2:10">
      <c r="B111" s="372" t="s">
        <v>68</v>
      </c>
      <c r="C111" s="373"/>
      <c r="D111" s="373"/>
      <c r="E111" s="374"/>
      <c r="F111" s="383"/>
      <c r="G111" s="89">
        <f>J105</f>
        <v>11380.5</v>
      </c>
      <c r="H111" s="79"/>
      <c r="I111" s="79"/>
      <c r="J111" s="79"/>
    </row>
    <row r="112" spans="2:10">
      <c r="B112" s="372" t="s">
        <v>69</v>
      </c>
      <c r="C112" s="373"/>
      <c r="D112" s="373"/>
      <c r="E112" s="374"/>
      <c r="F112" s="383"/>
      <c r="G112" s="89">
        <v>1</v>
      </c>
      <c r="H112" s="79"/>
      <c r="I112" s="79"/>
      <c r="J112" s="79"/>
    </row>
    <row r="113" spans="2:10">
      <c r="B113" s="372" t="s">
        <v>70</v>
      </c>
      <c r="C113" s="373"/>
      <c r="D113" s="373"/>
      <c r="E113" s="374"/>
      <c r="F113" s="383"/>
      <c r="G113" s="89">
        <f>G109+G111</f>
        <v>27124.5</v>
      </c>
      <c r="H113" s="79"/>
      <c r="I113" s="79"/>
      <c r="J113" s="79"/>
    </row>
    <row r="114" spans="2:10">
      <c r="B114" s="372" t="s">
        <v>71</v>
      </c>
      <c r="C114" s="373"/>
      <c r="D114" s="373"/>
      <c r="E114" s="374"/>
      <c r="F114" s="383"/>
      <c r="G114" s="89">
        <f>G113/G112</f>
        <v>27124.5</v>
      </c>
      <c r="H114" s="79"/>
      <c r="I114" s="79"/>
      <c r="J114" s="79"/>
    </row>
    <row r="115" spans="2:10">
      <c r="B115" s="372" t="s">
        <v>72</v>
      </c>
      <c r="C115" s="373"/>
      <c r="D115" s="373"/>
      <c r="E115" s="374"/>
      <c r="F115" s="376"/>
      <c r="G115" s="89">
        <f>G110+G114</f>
        <v>27124.5</v>
      </c>
      <c r="H115" s="79"/>
      <c r="I115" s="79"/>
      <c r="J115" s="79"/>
    </row>
    <row r="116" spans="2:10">
      <c r="B116" s="372" t="s">
        <v>73</v>
      </c>
      <c r="C116" s="373"/>
      <c r="D116" s="373"/>
      <c r="E116" s="374"/>
      <c r="F116" s="375">
        <f>BDI!E34</f>
        <v>0.28236215718070978</v>
      </c>
      <c r="G116" s="89">
        <f>G115*F116</f>
        <v>7658.9323324481629</v>
      </c>
      <c r="H116" s="79"/>
      <c r="I116" s="79"/>
      <c r="J116" s="79"/>
    </row>
    <row r="117" spans="2:10">
      <c r="B117" s="377" t="s">
        <v>74</v>
      </c>
      <c r="C117" s="378"/>
      <c r="D117" s="378"/>
      <c r="E117" s="379"/>
      <c r="F117" s="376"/>
      <c r="G117" s="87">
        <f>ROUND(SUM(G115+G116),2)</f>
        <v>34783.43</v>
      </c>
      <c r="H117" s="79"/>
      <c r="I117" s="79"/>
      <c r="J117" s="79"/>
    </row>
    <row r="118" spans="2:10" ht="15.75" thickBot="1"/>
    <row r="119" spans="2:10" ht="15.75" thickBot="1">
      <c r="B119" s="390" t="s">
        <v>42</v>
      </c>
      <c r="C119" s="391"/>
      <c r="D119" s="391"/>
      <c r="E119" s="391"/>
      <c r="F119" s="391"/>
      <c r="G119" s="391"/>
      <c r="H119" s="391"/>
      <c r="I119" s="391"/>
      <c r="J119" s="392"/>
    </row>
    <row r="120" spans="2:10">
      <c r="B120" s="393" t="s">
        <v>651</v>
      </c>
      <c r="C120" s="68" t="s">
        <v>43</v>
      </c>
      <c r="D120" s="69">
        <v>2</v>
      </c>
      <c r="E120" s="70" t="s">
        <v>44</v>
      </c>
      <c r="F120" s="71">
        <v>2022</v>
      </c>
      <c r="G120" s="72"/>
      <c r="H120" s="72"/>
      <c r="I120" s="70" t="s">
        <v>45</v>
      </c>
      <c r="J120" s="144" t="s">
        <v>318</v>
      </c>
    </row>
    <row r="121" spans="2:10">
      <c r="B121" s="394"/>
      <c r="C121" s="73" t="s">
        <v>46</v>
      </c>
      <c r="D121" s="396" t="s">
        <v>708</v>
      </c>
      <c r="E121" s="397"/>
      <c r="F121" s="74"/>
      <c r="G121" s="74"/>
      <c r="H121" s="74"/>
      <c r="I121" s="74"/>
      <c r="J121" s="75"/>
    </row>
    <row r="122" spans="2:10" ht="30">
      <c r="B122" s="394"/>
      <c r="C122" s="73" t="s">
        <v>48</v>
      </c>
      <c r="D122" s="398" t="s">
        <v>648</v>
      </c>
      <c r="E122" s="399"/>
      <c r="F122" s="399"/>
      <c r="G122" s="399"/>
      <c r="H122" s="399"/>
      <c r="I122" s="399"/>
      <c r="J122" s="400"/>
    </row>
    <row r="123" spans="2:10" ht="15.75" thickBot="1">
      <c r="B123" s="395"/>
      <c r="C123" s="76" t="s">
        <v>49</v>
      </c>
      <c r="D123" s="123" t="s">
        <v>77</v>
      </c>
      <c r="E123" s="77"/>
      <c r="F123" s="77"/>
      <c r="G123" s="77"/>
      <c r="H123" s="77"/>
      <c r="I123" s="77"/>
      <c r="J123" s="78"/>
    </row>
    <row r="124" spans="2:10">
      <c r="B124" s="122"/>
      <c r="C124" s="79"/>
      <c r="D124" s="79"/>
      <c r="E124" s="79"/>
      <c r="F124" s="79"/>
      <c r="G124" s="79"/>
      <c r="H124" s="79"/>
      <c r="I124" s="79"/>
      <c r="J124" s="79"/>
    </row>
    <row r="125" spans="2:10" ht="30">
      <c r="B125" s="80" t="s">
        <v>50</v>
      </c>
      <c r="C125" s="81" t="s">
        <v>51</v>
      </c>
      <c r="D125" s="81" t="s">
        <v>52</v>
      </c>
      <c r="E125" s="82" t="s">
        <v>53</v>
      </c>
      <c r="F125" s="82" t="s">
        <v>54</v>
      </c>
      <c r="G125" s="82" t="s">
        <v>55</v>
      </c>
      <c r="H125" s="82" t="s">
        <v>56</v>
      </c>
      <c r="I125" s="82" t="s">
        <v>57</v>
      </c>
      <c r="J125" s="82" t="s">
        <v>58</v>
      </c>
    </row>
    <row r="126" spans="2:10">
      <c r="B126" s="120" t="s">
        <v>652</v>
      </c>
      <c r="C126" s="121" t="s">
        <v>653</v>
      </c>
      <c r="D126" s="84">
        <v>10117</v>
      </c>
      <c r="E126" s="85">
        <v>0.1</v>
      </c>
      <c r="F126" s="85">
        <v>1</v>
      </c>
      <c r="G126" s="91">
        <v>14.1</v>
      </c>
      <c r="H126" s="85">
        <v>0</v>
      </c>
      <c r="I126" s="85">
        <f>ROUND(G126*(1+1.5727),2)</f>
        <v>36.28</v>
      </c>
      <c r="J126" s="86">
        <f>I126*E126</f>
        <v>3.6280000000000001</v>
      </c>
    </row>
    <row r="127" spans="2:10">
      <c r="B127" s="120"/>
      <c r="C127" s="84"/>
      <c r="D127" s="84"/>
      <c r="E127" s="85"/>
      <c r="F127" s="85"/>
      <c r="G127" s="85"/>
      <c r="H127" s="85"/>
      <c r="I127" s="85"/>
      <c r="J127" s="86"/>
    </row>
    <row r="128" spans="2:10">
      <c r="B128" s="83"/>
      <c r="C128" s="83"/>
      <c r="D128" s="84"/>
      <c r="E128" s="84"/>
      <c r="F128" s="85"/>
      <c r="G128" s="85"/>
      <c r="H128" s="85"/>
      <c r="I128" s="85"/>
      <c r="J128" s="86"/>
    </row>
    <row r="129" spans="2:10">
      <c r="B129" s="385" t="s">
        <v>59</v>
      </c>
      <c r="C129" s="386"/>
      <c r="D129" s="386"/>
      <c r="E129" s="386"/>
      <c r="F129" s="386"/>
      <c r="G129" s="386"/>
      <c r="H129" s="386"/>
      <c r="I129" s="387"/>
      <c r="J129" s="87">
        <f>ROUND(SUM(J126:J128),2)</f>
        <v>3.63</v>
      </c>
    </row>
    <row r="130" spans="2:10">
      <c r="B130" s="384"/>
      <c r="C130" s="384"/>
      <c r="D130" s="384"/>
      <c r="E130" s="384"/>
      <c r="F130" s="384"/>
      <c r="G130" s="384"/>
      <c r="H130" s="384"/>
      <c r="I130" s="384"/>
      <c r="J130" s="384"/>
    </row>
    <row r="131" spans="2:10" ht="30">
      <c r="B131" s="80" t="s">
        <v>60</v>
      </c>
      <c r="C131" s="81" t="s">
        <v>51</v>
      </c>
      <c r="D131" s="81" t="s">
        <v>52</v>
      </c>
      <c r="E131" s="82" t="s">
        <v>53</v>
      </c>
      <c r="F131" s="82" t="s">
        <v>54</v>
      </c>
      <c r="G131" s="82" t="s">
        <v>55</v>
      </c>
      <c r="H131" s="82" t="s">
        <v>56</v>
      </c>
      <c r="I131" s="82" t="s">
        <v>57</v>
      </c>
      <c r="J131" s="82" t="s">
        <v>58</v>
      </c>
    </row>
    <row r="132" spans="2:10">
      <c r="B132" s="120" t="s">
        <v>654</v>
      </c>
      <c r="C132" s="84">
        <v>1</v>
      </c>
      <c r="D132" s="266" t="s">
        <v>695</v>
      </c>
      <c r="E132" s="85">
        <v>1</v>
      </c>
      <c r="F132" s="85">
        <v>1</v>
      </c>
      <c r="G132" s="267">
        <f>COTAÇÕES!G40</f>
        <v>363.78</v>
      </c>
      <c r="H132" s="85"/>
      <c r="I132" s="85">
        <f>G132</f>
        <v>363.78</v>
      </c>
      <c r="J132" s="86">
        <f>I132*E132</f>
        <v>363.78</v>
      </c>
    </row>
    <row r="133" spans="2:10">
      <c r="B133" s="83"/>
      <c r="C133" s="83"/>
      <c r="D133" s="84"/>
      <c r="E133" s="84"/>
      <c r="F133" s="85"/>
      <c r="G133" s="85"/>
      <c r="H133" s="85"/>
      <c r="I133" s="85"/>
      <c r="J133" s="86"/>
    </row>
    <row r="134" spans="2:10">
      <c r="B134" s="385" t="s">
        <v>59</v>
      </c>
      <c r="C134" s="386"/>
      <c r="D134" s="386"/>
      <c r="E134" s="386"/>
      <c r="F134" s="386"/>
      <c r="G134" s="386"/>
      <c r="H134" s="386"/>
      <c r="I134" s="387"/>
      <c r="J134" s="87">
        <f>ROUND(SUM(J132:J133),2)</f>
        <v>363.78</v>
      </c>
    </row>
    <row r="135" spans="2:10">
      <c r="B135" s="388"/>
      <c r="C135" s="388"/>
      <c r="D135" s="388"/>
      <c r="E135" s="388"/>
      <c r="F135" s="388"/>
      <c r="G135" s="388"/>
      <c r="H135" s="388"/>
      <c r="I135" s="388"/>
      <c r="J135" s="388"/>
    </row>
    <row r="136" spans="2:10" ht="30">
      <c r="B136" s="80" t="s">
        <v>61</v>
      </c>
      <c r="C136" s="81" t="s">
        <v>51</v>
      </c>
      <c r="D136" s="81" t="s">
        <v>52</v>
      </c>
      <c r="E136" s="82" t="s">
        <v>53</v>
      </c>
      <c r="F136" s="82" t="s">
        <v>54</v>
      </c>
      <c r="G136" s="82" t="s">
        <v>55</v>
      </c>
      <c r="H136" s="82" t="s">
        <v>56</v>
      </c>
      <c r="I136" s="82" t="s">
        <v>57</v>
      </c>
      <c r="J136" s="82" t="s">
        <v>58</v>
      </c>
    </row>
    <row r="137" spans="2:10">
      <c r="B137" s="83"/>
      <c r="C137" s="84"/>
      <c r="D137" s="84"/>
      <c r="E137" s="85"/>
      <c r="F137" s="85"/>
      <c r="G137" s="85"/>
      <c r="H137" s="85"/>
      <c r="I137" s="85"/>
      <c r="J137" s="88"/>
    </row>
    <row r="138" spans="2:10">
      <c r="B138" s="83"/>
      <c r="C138" s="83"/>
      <c r="D138" s="84"/>
      <c r="E138" s="84"/>
      <c r="F138" s="85"/>
      <c r="G138" s="85"/>
      <c r="H138" s="85"/>
      <c r="I138" s="85"/>
      <c r="J138" s="88"/>
    </row>
    <row r="139" spans="2:10">
      <c r="B139" s="385" t="s">
        <v>59</v>
      </c>
      <c r="C139" s="386"/>
      <c r="D139" s="386"/>
      <c r="E139" s="386"/>
      <c r="F139" s="386"/>
      <c r="G139" s="386"/>
      <c r="H139" s="386"/>
      <c r="I139" s="387"/>
      <c r="J139" s="87">
        <f>ROUND(SUM(J137:J138),2)</f>
        <v>0</v>
      </c>
    </row>
    <row r="140" spans="2:10">
      <c r="B140" s="122"/>
      <c r="C140" s="79"/>
      <c r="D140" s="79"/>
      <c r="E140" s="79"/>
      <c r="F140" s="79"/>
      <c r="G140" s="79"/>
      <c r="H140" s="79"/>
      <c r="I140" s="79"/>
      <c r="J140" s="79"/>
    </row>
    <row r="141" spans="2:10">
      <c r="B141" s="389" t="s">
        <v>62</v>
      </c>
      <c r="C141" s="389"/>
      <c r="D141" s="389"/>
      <c r="E141" s="389"/>
      <c r="F141" s="389"/>
      <c r="G141" s="389"/>
      <c r="H141" s="79"/>
      <c r="I141" s="79"/>
      <c r="J141" s="79"/>
    </row>
    <row r="142" spans="2:10">
      <c r="B142" s="380" t="s">
        <v>63</v>
      </c>
      <c r="C142" s="381"/>
      <c r="D142" s="381"/>
      <c r="E142" s="382"/>
      <c r="F142" s="82" t="s">
        <v>64</v>
      </c>
      <c r="G142" s="82" t="s">
        <v>65</v>
      </c>
      <c r="H142" s="79"/>
      <c r="I142" s="79"/>
      <c r="J142" s="79"/>
    </row>
    <row r="143" spans="2:10">
      <c r="B143" s="372" t="s">
        <v>66</v>
      </c>
      <c r="C143" s="373"/>
      <c r="D143" s="373"/>
      <c r="E143" s="374"/>
      <c r="F143" s="375">
        <f>J10</f>
        <v>1.5727</v>
      </c>
      <c r="G143" s="89">
        <f>J129</f>
        <v>3.63</v>
      </c>
      <c r="H143" s="79"/>
      <c r="I143" s="79"/>
      <c r="J143" s="79"/>
    </row>
    <row r="144" spans="2:10">
      <c r="B144" s="372" t="s">
        <v>67</v>
      </c>
      <c r="C144" s="373"/>
      <c r="D144" s="373"/>
      <c r="E144" s="374"/>
      <c r="F144" s="383"/>
      <c r="G144" s="89">
        <f>J134</f>
        <v>363.78</v>
      </c>
      <c r="H144" s="79"/>
      <c r="I144" s="79"/>
      <c r="J144" s="79"/>
    </row>
    <row r="145" spans="2:10">
      <c r="B145" s="372" t="s">
        <v>68</v>
      </c>
      <c r="C145" s="373"/>
      <c r="D145" s="373"/>
      <c r="E145" s="374"/>
      <c r="F145" s="383"/>
      <c r="G145" s="89">
        <f>J139</f>
        <v>0</v>
      </c>
      <c r="H145" s="79"/>
      <c r="I145" s="79"/>
      <c r="J145" s="79"/>
    </row>
    <row r="146" spans="2:10">
      <c r="B146" s="372" t="s">
        <v>69</v>
      </c>
      <c r="C146" s="373"/>
      <c r="D146" s="373"/>
      <c r="E146" s="374"/>
      <c r="F146" s="383"/>
      <c r="G146" s="89">
        <v>1</v>
      </c>
      <c r="H146" s="79"/>
      <c r="I146" s="79"/>
      <c r="J146" s="79"/>
    </row>
    <row r="147" spans="2:10">
      <c r="B147" s="372" t="s">
        <v>70</v>
      </c>
      <c r="C147" s="373"/>
      <c r="D147" s="373"/>
      <c r="E147" s="374"/>
      <c r="F147" s="383"/>
      <c r="G147" s="89">
        <f>G143+G145</f>
        <v>3.63</v>
      </c>
      <c r="H147" s="79"/>
      <c r="I147" s="79"/>
      <c r="J147" s="79"/>
    </row>
    <row r="148" spans="2:10">
      <c r="B148" s="372" t="s">
        <v>71</v>
      </c>
      <c r="C148" s="373"/>
      <c r="D148" s="373"/>
      <c r="E148" s="374"/>
      <c r="F148" s="383"/>
      <c r="G148" s="89">
        <f>G147/G146</f>
        <v>3.63</v>
      </c>
      <c r="H148" s="79"/>
      <c r="I148" s="79"/>
      <c r="J148" s="79"/>
    </row>
    <row r="149" spans="2:10">
      <c r="B149" s="372" t="s">
        <v>72</v>
      </c>
      <c r="C149" s="373"/>
      <c r="D149" s="373"/>
      <c r="E149" s="374"/>
      <c r="F149" s="376"/>
      <c r="G149" s="89">
        <f>G144+G148</f>
        <v>367.40999999999997</v>
      </c>
      <c r="H149" s="79"/>
      <c r="I149" s="79"/>
      <c r="J149" s="79"/>
    </row>
    <row r="150" spans="2:10">
      <c r="B150" s="372" t="s">
        <v>73</v>
      </c>
      <c r="C150" s="373"/>
      <c r="D150" s="373"/>
      <c r="E150" s="374"/>
      <c r="F150" s="375">
        <f>BDI!E34</f>
        <v>0.28236215718070978</v>
      </c>
      <c r="G150" s="89">
        <f>G149*F150</f>
        <v>103.74268016976457</v>
      </c>
      <c r="H150" s="79"/>
      <c r="I150" s="79"/>
      <c r="J150" s="79"/>
    </row>
    <row r="151" spans="2:10">
      <c r="B151" s="377" t="s">
        <v>74</v>
      </c>
      <c r="C151" s="378"/>
      <c r="D151" s="378"/>
      <c r="E151" s="379"/>
      <c r="F151" s="376"/>
      <c r="G151" s="87">
        <f>ROUND(SUM(G149+G150),2)</f>
        <v>471.15</v>
      </c>
      <c r="H151" s="79"/>
      <c r="I151" s="79"/>
      <c r="J151" s="79"/>
    </row>
  </sheetData>
  <autoFilter ref="C1:C151" xr:uid="{00000000-0001-0000-0400-000000000000}"/>
  <mergeCells count="91">
    <mergeCell ref="B116:E116"/>
    <mergeCell ref="F116:F117"/>
    <mergeCell ref="B117:E117"/>
    <mergeCell ref="B107:G107"/>
    <mergeCell ref="B108:E108"/>
    <mergeCell ref="B109:E109"/>
    <mergeCell ref="F109:F115"/>
    <mergeCell ref="B110:E110"/>
    <mergeCell ref="B111:E111"/>
    <mergeCell ref="B112:E112"/>
    <mergeCell ref="B113:E113"/>
    <mergeCell ref="B114:E114"/>
    <mergeCell ref="B115:E115"/>
    <mergeCell ref="B95:I95"/>
    <mergeCell ref="B96:J96"/>
    <mergeCell ref="B100:I100"/>
    <mergeCell ref="B101:J101"/>
    <mergeCell ref="B105:I105"/>
    <mergeCell ref="B86:B89"/>
    <mergeCell ref="D87:E87"/>
    <mergeCell ref="D88:J88"/>
    <mergeCell ref="B85:J85"/>
    <mergeCell ref="B68:J68"/>
    <mergeCell ref="B71:I71"/>
    <mergeCell ref="B74:E74"/>
    <mergeCell ref="F82:F83"/>
    <mergeCell ref="G65:H65"/>
    <mergeCell ref="G66:H66"/>
    <mergeCell ref="D54:E54"/>
    <mergeCell ref="D55:J55"/>
    <mergeCell ref="B62:I62"/>
    <mergeCell ref="B63:J63"/>
    <mergeCell ref="B67:I67"/>
    <mergeCell ref="B83:E83"/>
    <mergeCell ref="B75:E75"/>
    <mergeCell ref="B76:E76"/>
    <mergeCell ref="B77:E77"/>
    <mergeCell ref="B78:E78"/>
    <mergeCell ref="B79:E79"/>
    <mergeCell ref="B80:E80"/>
    <mergeCell ref="B81:E81"/>
    <mergeCell ref="B82:E82"/>
    <mergeCell ref="F75:F81"/>
    <mergeCell ref="B73:G73"/>
    <mergeCell ref="B48:E48"/>
    <mergeCell ref="F48:F49"/>
    <mergeCell ref="B49:E49"/>
    <mergeCell ref="B40:E40"/>
    <mergeCell ref="B41:E41"/>
    <mergeCell ref="F41:F47"/>
    <mergeCell ref="B42:E42"/>
    <mergeCell ref="B43:E43"/>
    <mergeCell ref="B44:E44"/>
    <mergeCell ref="B52:J52"/>
    <mergeCell ref="B53:B56"/>
    <mergeCell ref="B2:J8"/>
    <mergeCell ref="B14:J14"/>
    <mergeCell ref="B15:B18"/>
    <mergeCell ref="D16:E16"/>
    <mergeCell ref="D17:J17"/>
    <mergeCell ref="B24:I24"/>
    <mergeCell ref="B25:J25"/>
    <mergeCell ref="B34:J34"/>
    <mergeCell ref="B37:I37"/>
    <mergeCell ref="B39:G39"/>
    <mergeCell ref="B45:E45"/>
    <mergeCell ref="B46:E46"/>
    <mergeCell ref="B47:E47"/>
    <mergeCell ref="B33:I33"/>
    <mergeCell ref="B119:J119"/>
    <mergeCell ref="B120:B123"/>
    <mergeCell ref="D121:E121"/>
    <mergeCell ref="D122:J122"/>
    <mergeCell ref="B129:I129"/>
    <mergeCell ref="B130:J130"/>
    <mergeCell ref="B134:I134"/>
    <mergeCell ref="B135:J135"/>
    <mergeCell ref="B139:I139"/>
    <mergeCell ref="B141:G141"/>
    <mergeCell ref="B150:E150"/>
    <mergeCell ref="F150:F151"/>
    <mergeCell ref="B151:E151"/>
    <mergeCell ref="B142:E142"/>
    <mergeCell ref="B143:E143"/>
    <mergeCell ref="F143:F149"/>
    <mergeCell ref="B144:E144"/>
    <mergeCell ref="B145:E145"/>
    <mergeCell ref="B146:E146"/>
    <mergeCell ref="B147:E147"/>
    <mergeCell ref="B148:E148"/>
    <mergeCell ref="B149:E149"/>
  </mergeCells>
  <phoneticPr fontId="39" type="noConversion"/>
  <pageMargins left="0.51181102362204722" right="0.51181102362204722" top="0.59055118110236227" bottom="0.59055118110236227" header="0.31496062992125984" footer="0.31496062992125984"/>
  <pageSetup paperSize="9" scale="64" fitToWidth="0" fitToHeight="0" orientation="portrait" r:id="rId1"/>
  <ignoredErrors>
    <ignoredError sqref="J11" unlockedFormula="1"/>
  </ignoredErrors>
  <drawing r:id="rId2"/>
  <legacyDrawing r:id="rId3"/>
  <oleObjects>
    <mc:AlternateContent xmlns:mc="http://schemas.openxmlformats.org/markup-compatibility/2006">
      <mc:Choice Requires="x14">
        <oleObject shapeId="7169" r:id="rId4">
          <objectPr defaultSize="0" autoPict="0" r:id="rId5">
            <anchor moveWithCells="1" sizeWithCells="1">
              <from>
                <xdr:col>4</xdr:col>
                <xdr:colOff>0</xdr:colOff>
                <xdr:row>1</xdr:row>
                <xdr:rowOff>19050</xdr:rowOff>
              </from>
              <to>
                <xdr:col>4</xdr:col>
                <xdr:colOff>0</xdr:colOff>
                <xdr:row>8</xdr:row>
                <xdr:rowOff>0</xdr:rowOff>
              </to>
            </anchor>
          </objectPr>
        </oleObject>
      </mc:Choice>
      <mc:Fallback>
        <oleObject shapeId="716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59999389629810485"/>
    <outlinePr summaryBelow="0"/>
  </sheetPr>
  <dimension ref="A1:O70"/>
  <sheetViews>
    <sheetView tabSelected="1" view="pageBreakPreview" zoomScale="85" zoomScaleNormal="100" zoomScaleSheetLayoutView="85" workbookViewId="0">
      <selection activeCell="J21" sqref="J21"/>
    </sheetView>
  </sheetViews>
  <sheetFormatPr defaultRowHeight="15"/>
  <cols>
    <col min="1" max="1" width="3.5703125" style="34" customWidth="1"/>
    <col min="2" max="2" width="16.7109375" customWidth="1"/>
    <col min="3" max="3" width="49" customWidth="1"/>
    <col min="4" max="4" width="24.85546875" customWidth="1"/>
    <col min="5" max="5" width="17.28515625" customWidth="1"/>
    <col min="6" max="15" width="9.140625" style="34"/>
  </cols>
  <sheetData>
    <row r="1" spans="2:6" s="34" customFormat="1" ht="15.75" thickBot="1"/>
    <row r="2" spans="2:6" s="34" customFormat="1">
      <c r="B2" s="326" t="s">
        <v>170</v>
      </c>
      <c r="C2" s="341"/>
      <c r="D2" s="341"/>
      <c r="E2" s="342"/>
    </row>
    <row r="3" spans="2:6" s="34" customFormat="1">
      <c r="B3" s="343"/>
      <c r="C3" s="344"/>
      <c r="D3" s="344"/>
      <c r="E3" s="345"/>
    </row>
    <row r="4" spans="2:6" s="34" customFormat="1">
      <c r="B4" s="343"/>
      <c r="C4" s="344"/>
      <c r="D4" s="344"/>
      <c r="E4" s="345"/>
    </row>
    <row r="5" spans="2:6" s="34" customFormat="1">
      <c r="B5" s="343"/>
      <c r="C5" s="344"/>
      <c r="D5" s="344"/>
      <c r="E5" s="345"/>
    </row>
    <row r="6" spans="2:6" s="34" customFormat="1">
      <c r="B6" s="343"/>
      <c r="C6" s="344"/>
      <c r="D6" s="344"/>
      <c r="E6" s="345"/>
    </row>
    <row r="7" spans="2:6" s="34" customFormat="1">
      <c r="B7" s="343"/>
      <c r="C7" s="344"/>
      <c r="D7" s="344"/>
      <c r="E7" s="345"/>
    </row>
    <row r="8" spans="2:6" s="34" customFormat="1" ht="15.75" thickBot="1">
      <c r="B8" s="346"/>
      <c r="C8" s="347"/>
      <c r="D8" s="347"/>
      <c r="E8" s="348"/>
    </row>
    <row r="9" spans="2:6" s="34" customFormat="1" ht="15.75" thickBot="1">
      <c r="B9" s="11"/>
      <c r="C9" s="11"/>
      <c r="D9" s="11"/>
      <c r="E9" s="11"/>
    </row>
    <row r="10" spans="2:6" s="34" customFormat="1">
      <c r="B10" s="1" t="s">
        <v>771</v>
      </c>
      <c r="C10" s="1"/>
      <c r="D10" s="14"/>
      <c r="E10" s="31"/>
    </row>
    <row r="11" spans="2:6" s="34" customFormat="1">
      <c r="B11" s="4" t="s">
        <v>171</v>
      </c>
      <c r="C11" s="4"/>
      <c r="D11" s="19"/>
      <c r="E11" s="32"/>
      <c r="F11" s="30"/>
    </row>
    <row r="12" spans="2:6" s="34" customFormat="1" ht="15.75" thickBot="1">
      <c r="B12" s="7" t="s">
        <v>657</v>
      </c>
      <c r="C12" s="7"/>
      <c r="D12" s="24"/>
      <c r="E12" s="33"/>
      <c r="F12" s="30"/>
    </row>
    <row r="13" spans="2:6" s="34" customFormat="1" ht="15.75" thickBot="1">
      <c r="B13" s="19"/>
      <c r="C13" s="19"/>
      <c r="D13" s="19"/>
      <c r="E13" s="19"/>
      <c r="F13" s="30"/>
    </row>
    <row r="14" spans="2:6" customFormat="1" ht="16.5" thickBot="1">
      <c r="B14" s="408" t="s">
        <v>30</v>
      </c>
      <c r="C14" s="409"/>
      <c r="D14" s="409"/>
      <c r="E14" s="410"/>
      <c r="F14" s="30"/>
    </row>
    <row r="15" spans="2:6" customFormat="1" ht="15.75" customHeight="1">
      <c r="B15" s="411" t="s">
        <v>31</v>
      </c>
      <c r="C15" s="412"/>
      <c r="D15" s="412"/>
      <c r="E15" s="412"/>
    </row>
    <row r="16" spans="2:6" customFormat="1">
      <c r="B16" s="413" t="s">
        <v>22</v>
      </c>
      <c r="C16" s="413"/>
      <c r="D16" s="413"/>
      <c r="E16" s="157" t="s">
        <v>32</v>
      </c>
    </row>
    <row r="17" spans="2:5" customFormat="1">
      <c r="B17" s="407" t="s">
        <v>33</v>
      </c>
      <c r="C17" s="407"/>
      <c r="D17" s="407"/>
      <c r="E17" s="154">
        <v>3.26</v>
      </c>
    </row>
    <row r="18" spans="2:5" customFormat="1">
      <c r="B18" s="407" t="s">
        <v>175</v>
      </c>
      <c r="C18" s="407"/>
      <c r="D18" s="407"/>
      <c r="E18" s="154">
        <v>7.63</v>
      </c>
    </row>
    <row r="19" spans="2:5" customFormat="1">
      <c r="B19" s="407" t="s">
        <v>176</v>
      </c>
      <c r="C19" s="407"/>
      <c r="D19" s="407"/>
      <c r="E19" s="154">
        <f>SUM(E20:E22)</f>
        <v>5.65</v>
      </c>
    </row>
    <row r="20" spans="2:5" customFormat="1">
      <c r="B20" s="406" t="s">
        <v>177</v>
      </c>
      <c r="C20" s="406"/>
      <c r="D20" s="406"/>
      <c r="E20" s="154">
        <v>2</v>
      </c>
    </row>
    <row r="21" spans="2:5" customFormat="1">
      <c r="B21" s="406" t="s">
        <v>35</v>
      </c>
      <c r="C21" s="406"/>
      <c r="D21" s="406"/>
      <c r="E21" s="154">
        <v>0.65</v>
      </c>
    </row>
    <row r="22" spans="2:5" customFormat="1">
      <c r="B22" s="406" t="s">
        <v>36</v>
      </c>
      <c r="C22" s="406"/>
      <c r="D22" s="406"/>
      <c r="E22" s="154">
        <v>3</v>
      </c>
    </row>
    <row r="23" spans="2:5" customFormat="1">
      <c r="B23" s="407" t="s">
        <v>178</v>
      </c>
      <c r="C23" s="407"/>
      <c r="D23" s="407"/>
      <c r="E23" s="154">
        <v>0.61</v>
      </c>
    </row>
    <row r="24" spans="2:5" customFormat="1">
      <c r="B24" s="407" t="s">
        <v>179</v>
      </c>
      <c r="C24" s="407"/>
      <c r="D24" s="407"/>
      <c r="E24" s="154">
        <v>1.5</v>
      </c>
    </row>
    <row r="25" spans="2:5" customFormat="1">
      <c r="B25" s="407" t="s">
        <v>34</v>
      </c>
      <c r="C25" s="407"/>
      <c r="D25" s="407"/>
      <c r="E25" s="154">
        <v>7</v>
      </c>
    </row>
    <row r="26" spans="2:5" customFormat="1">
      <c r="B26" s="155"/>
      <c r="C26" s="149"/>
      <c r="D26" s="149"/>
      <c r="E26" s="149"/>
    </row>
    <row r="27" spans="2:5" customFormat="1" ht="15.75">
      <c r="B27" s="411" t="s">
        <v>37</v>
      </c>
      <c r="C27" s="412"/>
      <c r="D27" s="412"/>
      <c r="E27" s="412"/>
    </row>
    <row r="28" spans="2:5" customFormat="1">
      <c r="B28" s="155"/>
      <c r="C28" s="155"/>
      <c r="D28" s="155"/>
      <c r="E28" s="155"/>
    </row>
    <row r="29" spans="2:5" customFormat="1" ht="15" customHeight="1">
      <c r="B29" s="499"/>
      <c r="C29" s="299"/>
      <c r="D29" s="500"/>
      <c r="E29" s="501"/>
    </row>
    <row r="30" spans="2:5" customFormat="1" ht="15" customHeight="1">
      <c r="B30" s="506" t="s">
        <v>776</v>
      </c>
      <c r="C30" s="505"/>
      <c r="D30" s="505"/>
      <c r="E30" s="507"/>
    </row>
    <row r="31" spans="2:5" customFormat="1" ht="15" customHeight="1">
      <c r="B31" s="506" t="s">
        <v>777</v>
      </c>
      <c r="C31" s="508"/>
      <c r="D31" s="508"/>
      <c r="E31" s="507"/>
    </row>
    <row r="32" spans="2:5" customFormat="1">
      <c r="B32" s="502"/>
      <c r="C32" s="503"/>
      <c r="D32" s="503"/>
      <c r="E32" s="504"/>
    </row>
    <row r="33" spans="1:15">
      <c r="B33" s="156"/>
      <c r="C33" s="156"/>
      <c r="D33" s="156"/>
      <c r="E33" s="156"/>
    </row>
    <row r="34" spans="1:15" s="36" customFormat="1" ht="24" customHeight="1">
      <c r="A34" s="35"/>
      <c r="B34" s="414" t="s">
        <v>38</v>
      </c>
      <c r="C34" s="415"/>
      <c r="D34" s="416"/>
      <c r="E34" s="186">
        <f>(((1+E17/100+E18/100+E24/100)*(1+E23/100)*(1+E25/100))/(1-E19/100))-1</f>
        <v>0.28236215718070978</v>
      </c>
      <c r="F34" s="35"/>
      <c r="G34" s="35"/>
      <c r="H34" s="35"/>
      <c r="I34" s="35"/>
      <c r="J34" s="497"/>
      <c r="K34" s="35"/>
      <c r="L34" s="35"/>
      <c r="M34" s="35"/>
      <c r="N34" s="35"/>
      <c r="O34" s="35"/>
    </row>
    <row r="35" spans="1:15" s="34" customFormat="1">
      <c r="J35" s="498"/>
    </row>
    <row r="36" spans="1:15" s="34" customFormat="1"/>
    <row r="37" spans="1:15" s="34" customFormat="1"/>
    <row r="38" spans="1:15" s="34" customFormat="1"/>
    <row r="39" spans="1:15" s="34" customFormat="1"/>
    <row r="40" spans="1:15" s="34" customFormat="1"/>
    <row r="41" spans="1:15" s="34" customFormat="1"/>
    <row r="42" spans="1:15" s="34" customFormat="1"/>
    <row r="43" spans="1:15" s="34" customFormat="1"/>
    <row r="44" spans="1:15" s="34" customFormat="1"/>
    <row r="45" spans="1:15" s="34" customFormat="1"/>
    <row r="46" spans="1:15" s="34" customFormat="1"/>
    <row r="47" spans="1:15" s="34" customFormat="1"/>
    <row r="48" spans="1:15" s="34" customFormat="1"/>
    <row r="49" s="34" customFormat="1"/>
    <row r="50" s="34" customFormat="1"/>
    <row r="51" s="34" customFormat="1"/>
    <row r="52" s="34" customFormat="1"/>
    <row r="53" s="34" customFormat="1"/>
    <row r="54" s="34" customFormat="1"/>
    <row r="55" s="34" customFormat="1"/>
    <row r="56" s="34" customFormat="1"/>
    <row r="57" s="34" customFormat="1"/>
    <row r="58" s="34" customFormat="1"/>
    <row r="59" s="34" customFormat="1"/>
    <row r="60" s="34" customFormat="1"/>
    <row r="61" s="34" customFormat="1"/>
    <row r="62" s="34" customFormat="1"/>
    <row r="63" s="34" customFormat="1"/>
    <row r="64" s="34" customFormat="1"/>
    <row r="65" s="34" customFormat="1"/>
    <row r="66" s="34" customFormat="1"/>
    <row r="67" s="34" customFormat="1"/>
    <row r="68" s="34" customFormat="1"/>
    <row r="69" customFormat="1"/>
    <row r="70" customFormat="1"/>
  </sheetData>
  <mergeCells count="17">
    <mergeCell ref="B23:D23"/>
    <mergeCell ref="B24:D24"/>
    <mergeCell ref="B34:D34"/>
    <mergeCell ref="B25:D25"/>
    <mergeCell ref="B27:E27"/>
    <mergeCell ref="B30:E30"/>
    <mergeCell ref="B31:E31"/>
    <mergeCell ref="B22:D22"/>
    <mergeCell ref="B19:D19"/>
    <mergeCell ref="B20:D20"/>
    <mergeCell ref="B2:E8"/>
    <mergeCell ref="B14:E14"/>
    <mergeCell ref="B18:D18"/>
    <mergeCell ref="B21:D21"/>
    <mergeCell ref="B15:E15"/>
    <mergeCell ref="B16:D16"/>
    <mergeCell ref="B17:D17"/>
  </mergeCells>
  <pageMargins left="0.27559055118110237" right="0.27559055118110237" top="0.27559055118110237" bottom="0.27559055118110237" header="0" footer="0"/>
  <pageSetup paperSize="9" scale="91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7DCD2-3751-45C5-97C5-AA5663A6E978}">
  <sheetPr>
    <tabColor theme="8" tint="0.59999389629810485"/>
    <outlinePr summaryBelow="0"/>
  </sheetPr>
  <dimension ref="A1:O69"/>
  <sheetViews>
    <sheetView view="pageBreakPreview" zoomScale="85" zoomScaleNormal="100" zoomScaleSheetLayoutView="85" workbookViewId="0">
      <selection activeCell="B29" sqref="B29:E31"/>
    </sheetView>
  </sheetViews>
  <sheetFormatPr defaultRowHeight="15"/>
  <cols>
    <col min="1" max="1" width="3.5703125" style="34" customWidth="1"/>
    <col min="2" max="2" width="16.7109375" customWidth="1"/>
    <col min="3" max="3" width="49" customWidth="1"/>
    <col min="4" max="4" width="24.85546875" customWidth="1"/>
    <col min="5" max="5" width="17.28515625" customWidth="1"/>
    <col min="6" max="15" width="9.140625" style="34"/>
  </cols>
  <sheetData>
    <row r="1" spans="2:6" s="34" customFormat="1" ht="15.75" thickBot="1"/>
    <row r="2" spans="2:6" s="34" customFormat="1">
      <c r="B2" s="326" t="s">
        <v>170</v>
      </c>
      <c r="C2" s="341"/>
      <c r="D2" s="341"/>
      <c r="E2" s="342"/>
    </row>
    <row r="3" spans="2:6" s="34" customFormat="1">
      <c r="B3" s="343"/>
      <c r="C3" s="344"/>
      <c r="D3" s="344"/>
      <c r="E3" s="345"/>
    </row>
    <row r="4" spans="2:6" s="34" customFormat="1">
      <c r="B4" s="343"/>
      <c r="C4" s="344"/>
      <c r="D4" s="344"/>
      <c r="E4" s="345"/>
    </row>
    <row r="5" spans="2:6" s="34" customFormat="1">
      <c r="B5" s="343"/>
      <c r="C5" s="344"/>
      <c r="D5" s="344"/>
      <c r="E5" s="345"/>
    </row>
    <row r="6" spans="2:6" s="34" customFormat="1">
      <c r="B6" s="343"/>
      <c r="C6" s="344"/>
      <c r="D6" s="344"/>
      <c r="E6" s="345"/>
    </row>
    <row r="7" spans="2:6" s="34" customFormat="1">
      <c r="B7" s="343"/>
      <c r="C7" s="344"/>
      <c r="D7" s="344"/>
      <c r="E7" s="345"/>
    </row>
    <row r="8" spans="2:6" s="34" customFormat="1" ht="15.75" thickBot="1">
      <c r="B8" s="346"/>
      <c r="C8" s="347"/>
      <c r="D8" s="347"/>
      <c r="E8" s="348"/>
    </row>
    <row r="9" spans="2:6" s="34" customFormat="1" ht="15.75" thickBot="1">
      <c r="B9" s="11"/>
      <c r="C9" s="11"/>
      <c r="D9" s="11"/>
      <c r="E9" s="11"/>
    </row>
    <row r="10" spans="2:6" s="34" customFormat="1">
      <c r="B10" s="1" t="s">
        <v>771</v>
      </c>
      <c r="C10" s="1"/>
      <c r="D10" s="14"/>
      <c r="E10" s="31"/>
    </row>
    <row r="11" spans="2:6" s="34" customFormat="1">
      <c r="B11" s="4" t="s">
        <v>171</v>
      </c>
      <c r="C11" s="4"/>
      <c r="D11" s="19"/>
      <c r="E11" s="32"/>
      <c r="F11" s="30"/>
    </row>
    <row r="12" spans="2:6" s="34" customFormat="1" ht="15.75" thickBot="1">
      <c r="B12" s="7" t="s">
        <v>657</v>
      </c>
      <c r="C12" s="7"/>
      <c r="D12" s="24"/>
      <c r="E12" s="33"/>
      <c r="F12" s="30"/>
    </row>
    <row r="13" spans="2:6" s="34" customFormat="1" ht="15.75" thickBot="1">
      <c r="B13" s="19"/>
      <c r="C13" s="19"/>
      <c r="D13" s="19"/>
      <c r="E13" s="19"/>
      <c r="F13" s="30"/>
    </row>
    <row r="14" spans="2:6" customFormat="1" ht="16.5" thickBot="1">
      <c r="B14" s="408" t="s">
        <v>663</v>
      </c>
      <c r="C14" s="409"/>
      <c r="D14" s="409"/>
      <c r="E14" s="410"/>
      <c r="F14" s="30"/>
    </row>
    <row r="15" spans="2:6" customFormat="1" ht="15.75" customHeight="1">
      <c r="B15" s="411" t="s">
        <v>31</v>
      </c>
      <c r="C15" s="412"/>
      <c r="D15" s="412"/>
      <c r="E15" s="412"/>
    </row>
    <row r="16" spans="2:6" customFormat="1">
      <c r="B16" s="413" t="s">
        <v>22</v>
      </c>
      <c r="C16" s="413"/>
      <c r="D16" s="413"/>
      <c r="E16" s="157" t="s">
        <v>32</v>
      </c>
    </row>
    <row r="17" spans="1:15">
      <c r="A17"/>
      <c r="B17" s="407" t="s">
        <v>33</v>
      </c>
      <c r="C17" s="407"/>
      <c r="D17" s="407"/>
      <c r="E17" s="154">
        <v>2</v>
      </c>
      <c r="F17"/>
      <c r="G17"/>
      <c r="H17"/>
      <c r="I17"/>
      <c r="J17"/>
      <c r="K17"/>
      <c r="L17"/>
      <c r="M17"/>
      <c r="N17"/>
      <c r="O17"/>
    </row>
    <row r="18" spans="1:15">
      <c r="A18"/>
      <c r="B18" s="407" t="s">
        <v>175</v>
      </c>
      <c r="C18" s="407"/>
      <c r="D18" s="407"/>
      <c r="E18" s="154">
        <v>1.72</v>
      </c>
      <c r="F18"/>
      <c r="G18"/>
      <c r="H18"/>
      <c r="I18"/>
      <c r="J18"/>
      <c r="K18"/>
      <c r="L18"/>
      <c r="M18"/>
      <c r="N18"/>
      <c r="O18"/>
    </row>
    <row r="19" spans="1:15">
      <c r="A19"/>
      <c r="B19" s="407" t="s">
        <v>176</v>
      </c>
      <c r="C19" s="407"/>
      <c r="D19" s="407"/>
      <c r="E19" s="154">
        <f>SUM(E20:E22)</f>
        <v>5.65</v>
      </c>
      <c r="F19"/>
      <c r="G19"/>
      <c r="H19"/>
      <c r="I19"/>
      <c r="J19"/>
      <c r="K19"/>
      <c r="L19"/>
      <c r="M19"/>
      <c r="N19"/>
      <c r="O19"/>
    </row>
    <row r="20" spans="1:15">
      <c r="A20"/>
      <c r="B20" s="406" t="s">
        <v>177</v>
      </c>
      <c r="C20" s="406"/>
      <c r="D20" s="406"/>
      <c r="E20" s="154">
        <v>2</v>
      </c>
      <c r="F20"/>
      <c r="G20"/>
      <c r="H20"/>
      <c r="I20"/>
      <c r="J20"/>
      <c r="K20"/>
      <c r="L20"/>
      <c r="M20"/>
      <c r="N20"/>
      <c r="O20"/>
    </row>
    <row r="21" spans="1:15">
      <c r="A21"/>
      <c r="B21" s="406" t="s">
        <v>35</v>
      </c>
      <c r="C21" s="406"/>
      <c r="D21" s="406"/>
      <c r="E21" s="154">
        <v>0.65</v>
      </c>
      <c r="F21"/>
      <c r="G21"/>
      <c r="H21"/>
      <c r="I21"/>
      <c r="J21"/>
      <c r="K21"/>
      <c r="L21"/>
      <c r="M21"/>
      <c r="N21"/>
      <c r="O21"/>
    </row>
    <row r="22" spans="1:15">
      <c r="A22"/>
      <c r="B22" s="406" t="s">
        <v>36</v>
      </c>
      <c r="C22" s="406"/>
      <c r="D22" s="406"/>
      <c r="E22" s="154">
        <v>3</v>
      </c>
      <c r="F22"/>
      <c r="G22"/>
      <c r="H22"/>
      <c r="I22"/>
      <c r="J22"/>
      <c r="K22"/>
      <c r="L22"/>
      <c r="M22"/>
      <c r="N22"/>
      <c r="O22"/>
    </row>
    <row r="23" spans="1:15">
      <c r="A23"/>
      <c r="B23" s="407" t="s">
        <v>178</v>
      </c>
      <c r="C23" s="407"/>
      <c r="D23" s="407"/>
      <c r="E23" s="154">
        <v>0.61</v>
      </c>
      <c r="F23"/>
      <c r="G23"/>
      <c r="H23"/>
      <c r="I23"/>
      <c r="J23"/>
      <c r="K23"/>
      <c r="L23"/>
      <c r="M23"/>
      <c r="N23"/>
      <c r="O23"/>
    </row>
    <row r="24" spans="1:15">
      <c r="A24"/>
      <c r="B24" s="407" t="s">
        <v>179</v>
      </c>
      <c r="C24" s="407"/>
      <c r="D24" s="407"/>
      <c r="E24" s="154">
        <v>1.5</v>
      </c>
      <c r="F24"/>
      <c r="G24"/>
      <c r="H24"/>
      <c r="I24"/>
      <c r="J24"/>
      <c r="K24"/>
      <c r="L24"/>
      <c r="M24"/>
      <c r="N24"/>
      <c r="O24"/>
    </row>
    <row r="25" spans="1:15">
      <c r="A25"/>
      <c r="B25" s="407" t="s">
        <v>34</v>
      </c>
      <c r="C25" s="407"/>
      <c r="D25" s="407"/>
      <c r="E25" s="154">
        <v>3</v>
      </c>
      <c r="F25"/>
      <c r="G25"/>
      <c r="H25"/>
      <c r="I25"/>
      <c r="J25"/>
      <c r="K25"/>
      <c r="L25"/>
      <c r="M25"/>
      <c r="N25"/>
      <c r="O25"/>
    </row>
    <row r="26" spans="1:15">
      <c r="A26"/>
      <c r="B26" s="155"/>
      <c r="C26" s="149"/>
      <c r="D26" s="149"/>
      <c r="E26" s="149"/>
      <c r="F26"/>
      <c r="G26"/>
      <c r="H26"/>
      <c r="I26"/>
      <c r="J26"/>
      <c r="K26"/>
      <c r="L26"/>
      <c r="M26"/>
      <c r="N26"/>
      <c r="O26"/>
    </row>
    <row r="27" spans="1:15" ht="15.75">
      <c r="A27"/>
      <c r="B27" s="411" t="s">
        <v>37</v>
      </c>
      <c r="C27" s="412"/>
      <c r="D27" s="412"/>
      <c r="E27" s="412"/>
      <c r="F27"/>
      <c r="G27"/>
      <c r="H27"/>
      <c r="I27"/>
      <c r="J27"/>
      <c r="K27"/>
      <c r="L27"/>
      <c r="M27"/>
      <c r="N27"/>
      <c r="O27"/>
    </row>
    <row r="28" spans="1:15">
      <c r="A28"/>
      <c r="B28" s="155"/>
      <c r="C28" s="155"/>
      <c r="D28" s="155"/>
      <c r="E28" s="155"/>
      <c r="F28"/>
      <c r="G28"/>
      <c r="H28"/>
      <c r="I28"/>
      <c r="J28"/>
      <c r="K28"/>
      <c r="L28"/>
      <c r="M28"/>
      <c r="N28"/>
      <c r="O28"/>
    </row>
    <row r="29" spans="1:15" ht="15" customHeight="1">
      <c r="A29"/>
      <c r="B29" s="417" t="s">
        <v>180</v>
      </c>
      <c r="C29" s="418"/>
      <c r="D29" s="418"/>
      <c r="E29" s="419"/>
      <c r="F29"/>
      <c r="G29"/>
      <c r="H29"/>
      <c r="I29"/>
      <c r="J29"/>
      <c r="K29"/>
      <c r="L29"/>
      <c r="M29"/>
      <c r="N29"/>
      <c r="O29"/>
    </row>
    <row r="30" spans="1:15" ht="15" customHeight="1">
      <c r="A30"/>
      <c r="B30" s="420"/>
      <c r="C30" s="421"/>
      <c r="D30" s="421"/>
      <c r="E30" s="422"/>
      <c r="F30"/>
      <c r="G30"/>
      <c r="H30"/>
      <c r="I30"/>
      <c r="J30"/>
      <c r="K30"/>
      <c r="L30"/>
      <c r="M30"/>
      <c r="N30"/>
      <c r="O30"/>
    </row>
    <row r="31" spans="1:15">
      <c r="A31"/>
      <c r="B31" s="423"/>
      <c r="C31" s="424"/>
      <c r="D31" s="424"/>
      <c r="E31" s="425"/>
      <c r="F31"/>
      <c r="G31"/>
      <c r="H31"/>
      <c r="I31"/>
      <c r="J31"/>
      <c r="K31"/>
      <c r="L31"/>
      <c r="M31"/>
      <c r="N31"/>
      <c r="O31"/>
    </row>
    <row r="32" spans="1:15">
      <c r="B32" s="156"/>
      <c r="C32" s="156"/>
      <c r="D32" s="156"/>
      <c r="E32" s="156"/>
    </row>
    <row r="33" spans="1:15" s="36" customFormat="1" ht="24" customHeight="1">
      <c r="A33" s="35"/>
      <c r="B33" s="414" t="s">
        <v>38</v>
      </c>
      <c r="C33" s="415"/>
      <c r="D33" s="416"/>
      <c r="E33" s="186">
        <f>ROUND((((1+E17/100+E18/100+E24/100)*(1+E23/100)*(1+E25/100))/(1-E19/100))-1,4)</f>
        <v>0.15570000000000001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</row>
    <row r="34" spans="1:15" s="34" customFormat="1"/>
    <row r="35" spans="1:15" s="34" customFormat="1"/>
    <row r="36" spans="1:15" s="34" customFormat="1"/>
    <row r="37" spans="1:15" s="34" customFormat="1"/>
    <row r="38" spans="1:15" s="34" customFormat="1"/>
    <row r="39" spans="1:15" s="34" customFormat="1"/>
    <row r="40" spans="1:15" s="34" customFormat="1"/>
    <row r="41" spans="1:15" s="34" customFormat="1"/>
    <row r="42" spans="1:15" s="34" customFormat="1"/>
    <row r="43" spans="1:15" s="34" customFormat="1"/>
    <row r="44" spans="1:15" s="34" customFormat="1"/>
    <row r="45" spans="1:15" s="34" customFormat="1"/>
    <row r="46" spans="1:15" s="34" customFormat="1"/>
    <row r="47" spans="1:15" s="34" customFormat="1"/>
    <row r="48" spans="1:15" s="34" customFormat="1"/>
    <row r="49" s="34" customFormat="1"/>
    <row r="50" s="34" customFormat="1"/>
    <row r="51" s="34" customFormat="1"/>
    <row r="52" s="34" customFormat="1"/>
    <row r="53" s="34" customFormat="1"/>
    <row r="54" s="34" customFormat="1"/>
    <row r="55" s="34" customFormat="1"/>
    <row r="56" s="34" customFormat="1"/>
    <row r="57" s="34" customFormat="1"/>
    <row r="58" s="34" customFormat="1"/>
    <row r="59" s="34" customFormat="1"/>
    <row r="60" s="34" customFormat="1"/>
    <row r="61" s="34" customFormat="1"/>
    <row r="62" s="34" customFormat="1"/>
    <row r="63" s="34" customFormat="1"/>
    <row r="64" s="34" customFormat="1"/>
    <row r="65" s="34" customFormat="1"/>
    <row r="66" s="34" customFormat="1"/>
    <row r="67" s="34" customFormat="1"/>
    <row r="68" customFormat="1"/>
    <row r="69" customFormat="1"/>
  </sheetData>
  <mergeCells count="16">
    <mergeCell ref="B25:D25"/>
    <mergeCell ref="B27:E27"/>
    <mergeCell ref="B29:E31"/>
    <mergeCell ref="B33:D33"/>
    <mergeCell ref="B19:D19"/>
    <mergeCell ref="B20:D20"/>
    <mergeCell ref="B21:D21"/>
    <mergeCell ref="B22:D22"/>
    <mergeCell ref="B23:D23"/>
    <mergeCell ref="B24:D24"/>
    <mergeCell ref="B18:D18"/>
    <mergeCell ref="B2:E8"/>
    <mergeCell ref="B14:E14"/>
    <mergeCell ref="B15:E15"/>
    <mergeCell ref="B16:D16"/>
    <mergeCell ref="B17:D17"/>
  </mergeCells>
  <pageMargins left="0.27559055118110237" right="0.27559055118110237" top="0.27559055118110237" bottom="0.27559055118110237" header="0" footer="0"/>
  <pageSetup paperSize="9" scale="91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D0B8C-7D00-4258-96C9-AC8EBBE9BCFA}">
  <sheetPr>
    <tabColor theme="8" tint="0.59999389629810485"/>
  </sheetPr>
  <dimension ref="A1:J45"/>
  <sheetViews>
    <sheetView view="pageBreakPreview" zoomScaleNormal="100" zoomScaleSheetLayoutView="100" workbookViewId="0">
      <selection activeCell="D18" sqref="D18:E18"/>
    </sheetView>
  </sheetViews>
  <sheetFormatPr defaultRowHeight="15"/>
  <cols>
    <col min="1" max="1" width="14.85546875" customWidth="1"/>
    <col min="2" max="2" width="12.7109375" customWidth="1"/>
    <col min="3" max="3" width="28.85546875" customWidth="1"/>
    <col min="4" max="4" width="22.28515625" customWidth="1"/>
    <col min="5" max="5" width="9.28515625" customWidth="1"/>
    <col min="6" max="6" width="13.28515625" customWidth="1"/>
    <col min="7" max="7" width="17" customWidth="1"/>
    <col min="8" max="8" width="13.5703125" customWidth="1"/>
    <col min="9" max="9" width="15.28515625" customWidth="1"/>
    <col min="10" max="10" width="25.28515625" customWidth="1"/>
  </cols>
  <sheetData>
    <row r="1" spans="1:10">
      <c r="B1" s="185"/>
      <c r="H1" s="62"/>
      <c r="I1" s="62"/>
      <c r="J1" s="62"/>
    </row>
    <row r="2" spans="1:10" ht="15.75" thickBot="1">
      <c r="A2" s="269"/>
      <c r="B2" s="270"/>
      <c r="C2" s="269"/>
      <c r="D2" s="269"/>
      <c r="E2" s="269"/>
      <c r="F2" s="269"/>
      <c r="G2" s="269"/>
      <c r="H2" s="271"/>
      <c r="I2" s="271"/>
      <c r="J2" s="271"/>
    </row>
    <row r="3" spans="1:10">
      <c r="A3" s="429" t="s">
        <v>170</v>
      </c>
      <c r="B3" s="430"/>
      <c r="C3" s="430"/>
      <c r="D3" s="430"/>
      <c r="E3" s="430"/>
      <c r="F3" s="430"/>
      <c r="G3" s="430"/>
      <c r="H3" s="430"/>
      <c r="I3" s="430"/>
      <c r="J3" s="431"/>
    </row>
    <row r="4" spans="1:10">
      <c r="A4" s="432"/>
      <c r="B4" s="433"/>
      <c r="C4" s="433"/>
      <c r="D4" s="433"/>
      <c r="E4" s="433"/>
      <c r="F4" s="433"/>
      <c r="G4" s="433"/>
      <c r="H4" s="433"/>
      <c r="I4" s="433"/>
      <c r="J4" s="434"/>
    </row>
    <row r="5" spans="1:10">
      <c r="A5" s="432"/>
      <c r="B5" s="433"/>
      <c r="C5" s="433"/>
      <c r="D5" s="433"/>
      <c r="E5" s="433"/>
      <c r="F5" s="433"/>
      <c r="G5" s="433"/>
      <c r="H5" s="433"/>
      <c r="I5" s="433"/>
      <c r="J5" s="434"/>
    </row>
    <row r="6" spans="1:10">
      <c r="A6" s="432"/>
      <c r="B6" s="433"/>
      <c r="C6" s="433"/>
      <c r="D6" s="433"/>
      <c r="E6" s="433"/>
      <c r="F6" s="433"/>
      <c r="G6" s="433"/>
      <c r="H6" s="433"/>
      <c r="I6" s="433"/>
      <c r="J6" s="434"/>
    </row>
    <row r="7" spans="1:10">
      <c r="A7" s="432"/>
      <c r="B7" s="433"/>
      <c r="C7" s="433"/>
      <c r="D7" s="433"/>
      <c r="E7" s="433"/>
      <c r="F7" s="433"/>
      <c r="G7" s="433"/>
      <c r="H7" s="433"/>
      <c r="I7" s="433"/>
      <c r="J7" s="434"/>
    </row>
    <row r="8" spans="1:10">
      <c r="A8" s="432"/>
      <c r="B8" s="433"/>
      <c r="C8" s="433"/>
      <c r="D8" s="433"/>
      <c r="E8" s="433"/>
      <c r="F8" s="433"/>
      <c r="G8" s="433"/>
      <c r="H8" s="433"/>
      <c r="I8" s="433"/>
      <c r="J8" s="434"/>
    </row>
    <row r="9" spans="1:10" ht="15.75" thickBot="1">
      <c r="A9" s="435"/>
      <c r="B9" s="436"/>
      <c r="C9" s="436"/>
      <c r="D9" s="436"/>
      <c r="E9" s="436"/>
      <c r="F9" s="436"/>
      <c r="G9" s="436"/>
      <c r="H9" s="436"/>
      <c r="I9" s="436"/>
      <c r="J9" s="437"/>
    </row>
    <row r="10" spans="1:10" ht="15" customHeight="1" thickBot="1">
      <c r="A10" s="272"/>
      <c r="B10" s="273"/>
      <c r="C10" s="272"/>
      <c r="D10" s="272"/>
      <c r="E10" s="272"/>
      <c r="F10" s="272"/>
      <c r="G10" s="272"/>
      <c r="H10" s="271"/>
      <c r="I10" s="271"/>
      <c r="J10" s="271"/>
    </row>
    <row r="11" spans="1:10" ht="27" customHeight="1">
      <c r="A11" s="426" t="s">
        <v>771</v>
      </c>
      <c r="B11" s="427"/>
      <c r="C11" s="428"/>
      <c r="D11" s="438" t="s">
        <v>669</v>
      </c>
      <c r="E11" s="439"/>
      <c r="F11" s="439"/>
      <c r="G11" s="439"/>
      <c r="H11" s="439"/>
      <c r="I11" s="439"/>
      <c r="J11" s="440"/>
    </row>
    <row r="12" spans="1:10" ht="15.75" customHeight="1">
      <c r="A12" s="4" t="s">
        <v>171</v>
      </c>
      <c r="B12" s="4"/>
      <c r="C12" s="32"/>
      <c r="D12" s="441"/>
      <c r="E12" s="442"/>
      <c r="F12" s="442"/>
      <c r="G12" s="442"/>
      <c r="H12" s="442"/>
      <c r="I12" s="442"/>
      <c r="J12" s="443"/>
    </row>
    <row r="13" spans="1:10" ht="15.75" thickBot="1">
      <c r="A13" s="7" t="s">
        <v>657</v>
      </c>
      <c r="B13" s="7"/>
      <c r="C13" s="7"/>
      <c r="D13" s="444"/>
      <c r="E13" s="445"/>
      <c r="F13" s="445"/>
      <c r="G13" s="445"/>
      <c r="H13" s="445"/>
      <c r="I13" s="445"/>
      <c r="J13" s="446"/>
    </row>
    <row r="14" spans="1:10" ht="15.75" thickBot="1">
      <c r="A14" s="271"/>
      <c r="B14" s="271"/>
      <c r="C14" s="271"/>
      <c r="D14" s="271"/>
      <c r="E14" s="271"/>
      <c r="F14" s="271"/>
      <c r="G14" s="271"/>
      <c r="H14" s="271"/>
      <c r="I14" s="271"/>
      <c r="J14" s="271"/>
    </row>
    <row r="15" spans="1:10" ht="30.75" thickBot="1">
      <c r="A15" s="274" t="s">
        <v>670</v>
      </c>
      <c r="B15" s="274" t="s">
        <v>671</v>
      </c>
      <c r="C15" s="447" t="s">
        <v>672</v>
      </c>
      <c r="D15" s="447"/>
      <c r="E15" s="274" t="s">
        <v>649</v>
      </c>
      <c r="F15" s="274" t="s">
        <v>673</v>
      </c>
      <c r="G15" s="274" t="s">
        <v>674</v>
      </c>
      <c r="H15" s="271"/>
      <c r="I15" s="271"/>
      <c r="J15" s="275"/>
    </row>
    <row r="16" spans="1:10" ht="30" customHeight="1" thickBot="1">
      <c r="A16" s="276" t="s">
        <v>481</v>
      </c>
      <c r="B16" s="277" t="s">
        <v>675</v>
      </c>
      <c r="C16" s="448" t="s">
        <v>427</v>
      </c>
      <c r="D16" s="448"/>
      <c r="E16" s="277" t="s">
        <v>676</v>
      </c>
      <c r="F16" s="278">
        <v>3</v>
      </c>
      <c r="G16" s="279">
        <f>ROUND((H19+H20+H21)/3,2)</f>
        <v>492.01</v>
      </c>
      <c r="H16" s="271"/>
      <c r="I16" s="271"/>
      <c r="J16" s="271"/>
    </row>
    <row r="17" spans="1:10" ht="15.75" thickBot="1">
      <c r="A17" s="271"/>
      <c r="B17" s="271"/>
      <c r="C17" s="271"/>
      <c r="D17" s="271"/>
      <c r="E17" s="271"/>
      <c r="F17" s="271"/>
      <c r="G17" s="271"/>
      <c r="H17" s="271"/>
      <c r="I17" s="271"/>
      <c r="J17" s="271"/>
    </row>
    <row r="18" spans="1:10" ht="15.75" thickBot="1">
      <c r="A18" s="447" t="s">
        <v>677</v>
      </c>
      <c r="B18" s="447"/>
      <c r="C18" s="447"/>
      <c r="D18" s="449" t="s">
        <v>678</v>
      </c>
      <c r="E18" s="449"/>
      <c r="F18" s="449" t="s">
        <v>679</v>
      </c>
      <c r="G18" s="449"/>
      <c r="H18" s="274" t="s">
        <v>680</v>
      </c>
      <c r="I18" s="274" t="s">
        <v>681</v>
      </c>
      <c r="J18" s="274" t="s">
        <v>682</v>
      </c>
    </row>
    <row r="19" spans="1:10" ht="15" customHeight="1">
      <c r="A19" s="460" t="str">
        <f>'COT-AUX'!D3</f>
        <v>LED RJ</v>
      </c>
      <c r="B19" s="461"/>
      <c r="C19" s="451"/>
      <c r="D19" s="450" t="s">
        <v>753</v>
      </c>
      <c r="E19" s="451"/>
      <c r="F19" s="452" t="str">
        <f>'COT-AUX'!E3</f>
        <v>https://www.ledrj.com.br/iluminacao-esportiva/refletor-holofote-super-led-stadium-blindado-200w-ip-68-5-anos-de-garantia</v>
      </c>
      <c r="G19" s="453"/>
      <c r="H19" s="280">
        <f>'COT-AUX'!F3</f>
        <v>539.49</v>
      </c>
      <c r="I19" s="281" t="s">
        <v>683</v>
      </c>
      <c r="J19" s="282" t="s">
        <v>684</v>
      </c>
    </row>
    <row r="20" spans="1:10" ht="15" customHeight="1">
      <c r="A20" s="454" t="s">
        <v>685</v>
      </c>
      <c r="B20" s="455"/>
      <c r="C20" s="456"/>
      <c r="D20" s="457" t="s">
        <v>686</v>
      </c>
      <c r="E20" s="456"/>
      <c r="F20" s="458" t="s">
        <v>687</v>
      </c>
      <c r="G20" s="459"/>
      <c r="H20" s="283">
        <f>'COT-AUX'!F74</f>
        <v>437.53000000000003</v>
      </c>
      <c r="I20" s="284" t="s">
        <v>683</v>
      </c>
      <c r="J20" s="285" t="s">
        <v>684</v>
      </c>
    </row>
    <row r="21" spans="1:10" ht="15.75" customHeight="1" thickBot="1">
      <c r="A21" s="477" t="s">
        <v>688</v>
      </c>
      <c r="B21" s="478"/>
      <c r="C21" s="479"/>
      <c r="D21" s="480" t="s">
        <v>689</v>
      </c>
      <c r="E21" s="479"/>
      <c r="F21" s="481" t="s">
        <v>690</v>
      </c>
      <c r="G21" s="482"/>
      <c r="H21" s="286">
        <f>'COT-AUX'!F40</f>
        <v>499</v>
      </c>
      <c r="I21" s="287" t="s">
        <v>683</v>
      </c>
      <c r="J21" s="288" t="s">
        <v>684</v>
      </c>
    </row>
    <row r="22" spans="1:10" ht="15.75" thickBot="1">
      <c r="A22" s="271"/>
      <c r="B22" s="271"/>
      <c r="C22" s="271"/>
      <c r="D22" s="271"/>
      <c r="E22" s="271"/>
      <c r="F22" s="271"/>
      <c r="G22" s="271"/>
      <c r="H22" s="271"/>
      <c r="I22" s="271"/>
      <c r="J22" s="271"/>
    </row>
    <row r="23" spans="1:10" ht="30.75" thickBot="1">
      <c r="A23" s="274" t="s">
        <v>670</v>
      </c>
      <c r="B23" s="274" t="s">
        <v>671</v>
      </c>
      <c r="C23" s="447" t="s">
        <v>672</v>
      </c>
      <c r="D23" s="447"/>
      <c r="E23" s="274" t="s">
        <v>649</v>
      </c>
      <c r="F23" s="274" t="s">
        <v>673</v>
      </c>
      <c r="G23" s="274" t="s">
        <v>674</v>
      </c>
      <c r="H23" s="271"/>
      <c r="I23" s="271"/>
      <c r="J23" s="275"/>
    </row>
    <row r="24" spans="1:10" ht="15.75" thickBot="1">
      <c r="A24" s="276" t="s">
        <v>542</v>
      </c>
      <c r="B24" s="277" t="s">
        <v>675</v>
      </c>
      <c r="C24" s="448" t="s">
        <v>480</v>
      </c>
      <c r="D24" s="448"/>
      <c r="E24" s="277" t="s">
        <v>691</v>
      </c>
      <c r="F24" s="278">
        <v>3</v>
      </c>
      <c r="G24" s="279">
        <f>ROUND((H27+H28+H29)/3,2)</f>
        <v>187.97</v>
      </c>
      <c r="H24" s="271"/>
      <c r="I24" s="271"/>
      <c r="J24" s="271"/>
    </row>
    <row r="25" spans="1:10" ht="15.75" thickBot="1">
      <c r="A25" s="271"/>
      <c r="B25" s="271"/>
      <c r="C25" s="271"/>
      <c r="D25" s="271"/>
      <c r="E25" s="271"/>
      <c r="F25" s="271"/>
      <c r="G25" s="271"/>
      <c r="H25" s="271"/>
      <c r="I25" s="271"/>
      <c r="J25" s="271"/>
    </row>
    <row r="26" spans="1:10" ht="15.75" thickBot="1">
      <c r="A26" s="447" t="s">
        <v>677</v>
      </c>
      <c r="B26" s="447"/>
      <c r="C26" s="447"/>
      <c r="D26" s="449" t="s">
        <v>678</v>
      </c>
      <c r="E26" s="449"/>
      <c r="F26" s="449" t="s">
        <v>679</v>
      </c>
      <c r="G26" s="449"/>
      <c r="H26" s="274" t="s">
        <v>680</v>
      </c>
      <c r="I26" s="274" t="s">
        <v>681</v>
      </c>
      <c r="J26" s="274" t="s">
        <v>682</v>
      </c>
    </row>
    <row r="27" spans="1:10">
      <c r="A27" s="466" t="s">
        <v>755</v>
      </c>
      <c r="B27" s="467"/>
      <c r="C27" s="467"/>
      <c r="D27" s="468" t="s">
        <v>754</v>
      </c>
      <c r="E27" s="467"/>
      <c r="F27" s="469" t="str">
        <f>'COT-AUX'!E119</f>
        <v>https://www.iluminim.com.br/mini-refletor-holofote-led-smd-200w-branco-frio-ip67?utm_source=Site&amp;utm_medium=GoogleMerchant&amp;utm_campaign=GoogleMerchant&amp;gad=1&amp;gclid=CjwKCAjwtuOlBhBREiwA7agf1hquCSW1jMdXItUvajZ6yKRjf143HUAKWXedTKX14-0cYK20ohcdtBoCZ7QQAvD_BwE</v>
      </c>
      <c r="G27" s="467"/>
      <c r="H27" s="280">
        <f>'COT-AUX'!F119</f>
        <v>249.41</v>
      </c>
      <c r="I27" s="281" t="s">
        <v>683</v>
      </c>
      <c r="J27" s="282" t="s">
        <v>684</v>
      </c>
    </row>
    <row r="28" spans="1:10">
      <c r="A28" s="470" t="s">
        <v>760</v>
      </c>
      <c r="B28" s="471"/>
      <c r="C28" s="471"/>
      <c r="D28" s="472" t="s">
        <v>759</v>
      </c>
      <c r="E28" s="471"/>
      <c r="F28" s="473" t="str">
        <f>'COT-AUX'!E160</f>
        <v>https://www.arcoirisled.com.br/refletor-led-mini-floodlight-200w-branco-frio-ip67-82930?utm_source=Site&amp;utm_medium=GoogleMerchant&amp;utm_campaign=GoogleMerchant&amp;gad=1&amp;gclid=CjwKCAjwtuOlBhBREiwA7agf1o1UP8pT6l0uoH9vFLRYt9T9pMZcQWH5S-tkjIS8mCsWn3H-HeeHThoCbQUQAvD_BwE</v>
      </c>
      <c r="G28" s="471"/>
      <c r="H28" s="283">
        <f>'COT-AUX'!F160</f>
        <v>127.39999999999999</v>
      </c>
      <c r="I28" s="284" t="s">
        <v>683</v>
      </c>
      <c r="J28" s="285" t="s">
        <v>684</v>
      </c>
    </row>
    <row r="29" spans="1:10" ht="15.75" thickBot="1">
      <c r="A29" s="462" t="s">
        <v>685</v>
      </c>
      <c r="B29" s="463"/>
      <c r="C29" s="463"/>
      <c r="D29" s="464" t="s">
        <v>686</v>
      </c>
      <c r="E29" s="463"/>
      <c r="F29" s="465" t="s">
        <v>479</v>
      </c>
      <c r="G29" s="463"/>
      <c r="H29" s="286">
        <f>'COT-AUX'!F198</f>
        <v>187.10000000000002</v>
      </c>
      <c r="I29" s="287" t="s">
        <v>683</v>
      </c>
      <c r="J29" s="288" t="s">
        <v>684</v>
      </c>
    </row>
    <row r="30" spans="1:10" ht="15.75" thickBot="1">
      <c r="A30" s="271"/>
      <c r="B30" s="271"/>
      <c r="C30" s="271"/>
      <c r="D30" s="271"/>
      <c r="E30" s="271"/>
      <c r="F30" s="271"/>
      <c r="G30" s="271"/>
      <c r="H30" s="271"/>
      <c r="I30" s="271"/>
      <c r="J30" s="271"/>
    </row>
    <row r="31" spans="1:10" ht="30.75" thickBot="1">
      <c r="A31" s="274" t="s">
        <v>670</v>
      </c>
      <c r="B31" s="274" t="s">
        <v>671</v>
      </c>
      <c r="C31" s="447" t="s">
        <v>672</v>
      </c>
      <c r="D31" s="447"/>
      <c r="E31" s="274" t="s">
        <v>649</v>
      </c>
      <c r="F31" s="274" t="s">
        <v>673</v>
      </c>
      <c r="G31" s="274" t="s">
        <v>674</v>
      </c>
      <c r="H31" s="271"/>
      <c r="I31" s="271"/>
      <c r="J31" s="275"/>
    </row>
    <row r="32" spans="1:10" ht="49.5" customHeight="1" thickBot="1">
      <c r="A32" s="276" t="s">
        <v>543</v>
      </c>
      <c r="B32" s="277" t="s">
        <v>675</v>
      </c>
      <c r="C32" s="474" t="s">
        <v>706</v>
      </c>
      <c r="D32" s="474"/>
      <c r="E32" s="277" t="s">
        <v>691</v>
      </c>
      <c r="F32" s="278">
        <v>3</v>
      </c>
      <c r="G32" s="279">
        <f>ROUND((H35+H36+H37)/3,2)</f>
        <v>225663.18</v>
      </c>
      <c r="H32" s="271"/>
      <c r="I32" s="271"/>
      <c r="J32" s="271"/>
    </row>
    <row r="33" spans="1:10" ht="15.75" thickBot="1">
      <c r="A33" s="271"/>
      <c r="B33" s="271"/>
      <c r="C33" s="271"/>
      <c r="D33" s="271"/>
      <c r="E33" s="271"/>
      <c r="F33" s="271"/>
      <c r="G33" s="271"/>
      <c r="H33" s="271"/>
      <c r="I33" s="271"/>
      <c r="J33" s="271"/>
    </row>
    <row r="34" spans="1:10" ht="15.75" thickBot="1">
      <c r="A34" s="447" t="s">
        <v>677</v>
      </c>
      <c r="B34" s="447"/>
      <c r="C34" s="447"/>
      <c r="D34" s="449" t="s">
        <v>678</v>
      </c>
      <c r="E34" s="449"/>
      <c r="F34" s="449" t="s">
        <v>679</v>
      </c>
      <c r="G34" s="449"/>
      <c r="H34" s="274" t="s">
        <v>680</v>
      </c>
      <c r="I34" s="274" t="s">
        <v>681</v>
      </c>
      <c r="J34" s="274" t="s">
        <v>682</v>
      </c>
    </row>
    <row r="35" spans="1:10" ht="15.75" customHeight="1">
      <c r="A35" s="491" t="s">
        <v>696</v>
      </c>
      <c r="B35" s="492"/>
      <c r="C35" s="492"/>
      <c r="D35" s="493" t="s">
        <v>697</v>
      </c>
      <c r="E35" s="492"/>
      <c r="F35" s="494" t="s">
        <v>698</v>
      </c>
      <c r="G35" s="492"/>
      <c r="H35" s="289">
        <v>236400</v>
      </c>
      <c r="I35" s="290" t="s">
        <v>683</v>
      </c>
      <c r="J35" s="291" t="s">
        <v>699</v>
      </c>
    </row>
    <row r="36" spans="1:10">
      <c r="A36" s="495" t="s">
        <v>700</v>
      </c>
      <c r="B36" s="476"/>
      <c r="C36" s="476"/>
      <c r="D36" s="475" t="s">
        <v>701</v>
      </c>
      <c r="E36" s="476"/>
      <c r="F36" s="486" t="s">
        <v>702</v>
      </c>
      <c r="G36" s="476"/>
      <c r="H36" s="292">
        <v>199370.12</v>
      </c>
      <c r="I36" s="293" t="s">
        <v>683</v>
      </c>
      <c r="J36" s="313" t="s">
        <v>699</v>
      </c>
    </row>
    <row r="37" spans="1:10" ht="15.75" thickBot="1">
      <c r="A37" s="487" t="s">
        <v>703</v>
      </c>
      <c r="B37" s="488"/>
      <c r="C37" s="488"/>
      <c r="D37" s="489" t="s">
        <v>704</v>
      </c>
      <c r="E37" s="488"/>
      <c r="F37" s="490" t="s">
        <v>705</v>
      </c>
      <c r="G37" s="488"/>
      <c r="H37" s="294">
        <v>241219.42</v>
      </c>
      <c r="I37" s="295" t="s">
        <v>683</v>
      </c>
      <c r="J37" s="312" t="s">
        <v>699</v>
      </c>
    </row>
    <row r="38" spans="1:10" ht="15.75" thickBot="1">
      <c r="A38" s="271"/>
      <c r="B38" s="271"/>
      <c r="C38" s="271"/>
      <c r="D38" s="271"/>
      <c r="E38" s="271"/>
      <c r="F38" s="271"/>
      <c r="G38" s="271"/>
      <c r="H38" s="271"/>
      <c r="I38" s="271"/>
      <c r="J38" s="271"/>
    </row>
    <row r="39" spans="1:10" ht="30.75" thickBot="1">
      <c r="A39" s="274" t="s">
        <v>670</v>
      </c>
      <c r="B39" s="274" t="s">
        <v>671</v>
      </c>
      <c r="C39" s="447" t="s">
        <v>672</v>
      </c>
      <c r="D39" s="447"/>
      <c r="E39" s="274" t="s">
        <v>649</v>
      </c>
      <c r="F39" s="274" t="s">
        <v>673</v>
      </c>
      <c r="G39" s="274" t="s">
        <v>674</v>
      </c>
      <c r="H39" s="271"/>
      <c r="I39" s="271"/>
      <c r="J39" s="275"/>
    </row>
    <row r="40" spans="1:10" ht="15.75" thickBot="1">
      <c r="A40" s="276" t="s">
        <v>693</v>
      </c>
      <c r="B40" s="277" t="s">
        <v>675</v>
      </c>
      <c r="C40" s="448" t="s">
        <v>655</v>
      </c>
      <c r="D40" s="448"/>
      <c r="E40" s="277" t="s">
        <v>676</v>
      </c>
      <c r="F40" s="278">
        <v>3</v>
      </c>
      <c r="G40" s="279">
        <f>ROUND((H43+H44+H45)/3,2)</f>
        <v>363.78</v>
      </c>
      <c r="H40" s="271"/>
      <c r="I40" s="271"/>
      <c r="J40" s="271"/>
    </row>
    <row r="41" spans="1:10" ht="15.75" thickBo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</row>
    <row r="42" spans="1:10" ht="15.75" thickBot="1">
      <c r="A42" s="447" t="s">
        <v>677</v>
      </c>
      <c r="B42" s="447"/>
      <c r="C42" s="447"/>
      <c r="D42" s="449" t="s">
        <v>678</v>
      </c>
      <c r="E42" s="449"/>
      <c r="F42" s="449" t="s">
        <v>679</v>
      </c>
      <c r="G42" s="449"/>
      <c r="H42" s="274" t="s">
        <v>680</v>
      </c>
      <c r="I42" s="274" t="s">
        <v>681</v>
      </c>
      <c r="J42" s="274" t="s">
        <v>682</v>
      </c>
    </row>
    <row r="43" spans="1:10">
      <c r="A43" s="466" t="str">
        <f>'COT-AUX'!D242</f>
        <v>UPPER SEG</v>
      </c>
      <c r="B43" s="467"/>
      <c r="C43" s="467"/>
      <c r="D43" s="468" t="s">
        <v>763</v>
      </c>
      <c r="E43" s="467"/>
      <c r="F43" s="484" t="str">
        <f>'COT-AUX'!E242</f>
        <v>https://www.upperseg.com.br/informatica/roteadores-wireless/roteadores/access-point-corporativo-roteador-wireless-com-gerenciamento-centralizado-ap-310-intelbras/?gclid=CjwKCAjwtuOlBhBREiwA7agf1t5h9E3azJR0BgvOwphWX4RV9D5Gk8ieH08G7tRcngPlgTFdV5VSIhoCBUoQAvD_BwE</v>
      </c>
      <c r="G43" s="467"/>
      <c r="H43" s="280">
        <f>'COT-AUX'!F242</f>
        <v>400.83</v>
      </c>
      <c r="I43" s="281" t="s">
        <v>683</v>
      </c>
      <c r="J43" s="282" t="s">
        <v>684</v>
      </c>
    </row>
    <row r="44" spans="1:10">
      <c r="A44" s="470" t="str">
        <f>'COT-AUX'!D316</f>
        <v>Amazon</v>
      </c>
      <c r="B44" s="471"/>
      <c r="C44" s="471"/>
      <c r="D44" s="472" t="s">
        <v>764</v>
      </c>
      <c r="E44" s="471"/>
      <c r="F44" s="485" t="s">
        <v>746</v>
      </c>
      <c r="G44" s="471"/>
      <c r="H44" s="283">
        <f>'COT-AUX'!F316</f>
        <v>344.09</v>
      </c>
      <c r="I44" s="284" t="s">
        <v>683</v>
      </c>
      <c r="J44" s="285" t="s">
        <v>684</v>
      </c>
    </row>
    <row r="45" spans="1:10" ht="15.75" thickBot="1">
      <c r="A45" s="462" t="s">
        <v>688</v>
      </c>
      <c r="B45" s="463"/>
      <c r="C45" s="463"/>
      <c r="D45" s="464" t="s">
        <v>689</v>
      </c>
      <c r="E45" s="463"/>
      <c r="F45" s="483" t="s">
        <v>692</v>
      </c>
      <c r="G45" s="463"/>
      <c r="H45" s="286">
        <f>'COT-AUX'!F279</f>
        <v>346.42</v>
      </c>
      <c r="I45" s="287" t="s">
        <v>683</v>
      </c>
      <c r="J45" s="288" t="s">
        <v>684</v>
      </c>
    </row>
  </sheetData>
  <mergeCells count="59">
    <mergeCell ref="F36:G36"/>
    <mergeCell ref="F34:G34"/>
    <mergeCell ref="A37:C37"/>
    <mergeCell ref="D37:E37"/>
    <mergeCell ref="F37:G37"/>
    <mergeCell ref="A35:C35"/>
    <mergeCell ref="D35:E35"/>
    <mergeCell ref="F35:G35"/>
    <mergeCell ref="A36:C36"/>
    <mergeCell ref="A45:C45"/>
    <mergeCell ref="D45:E45"/>
    <mergeCell ref="F45:G45"/>
    <mergeCell ref="A43:C43"/>
    <mergeCell ref="D43:E43"/>
    <mergeCell ref="F43:G43"/>
    <mergeCell ref="A44:C44"/>
    <mergeCell ref="D44:E44"/>
    <mergeCell ref="F44:G44"/>
    <mergeCell ref="C39:D39"/>
    <mergeCell ref="C40:D40"/>
    <mergeCell ref="A42:C42"/>
    <mergeCell ref="D42:E42"/>
    <mergeCell ref="F42:G42"/>
    <mergeCell ref="C23:D23"/>
    <mergeCell ref="C24:D24"/>
    <mergeCell ref="A26:C26"/>
    <mergeCell ref="D26:E26"/>
    <mergeCell ref="F26:G26"/>
    <mergeCell ref="C31:D31"/>
    <mergeCell ref="C32:D32"/>
    <mergeCell ref="A34:C34"/>
    <mergeCell ref="D34:E34"/>
    <mergeCell ref="D36:E36"/>
    <mergeCell ref="A20:C20"/>
    <mergeCell ref="D20:E20"/>
    <mergeCell ref="F20:G20"/>
    <mergeCell ref="A19:C19"/>
    <mergeCell ref="A29:C29"/>
    <mergeCell ref="D29:E29"/>
    <mergeCell ref="F29:G29"/>
    <mergeCell ref="A27:C27"/>
    <mergeCell ref="D27:E27"/>
    <mergeCell ref="F27:G27"/>
    <mergeCell ref="A28:C28"/>
    <mergeCell ref="D28:E28"/>
    <mergeCell ref="F28:G28"/>
    <mergeCell ref="A21:C21"/>
    <mergeCell ref="D21:E21"/>
    <mergeCell ref="F21:G21"/>
    <mergeCell ref="A18:C18"/>
    <mergeCell ref="D18:E18"/>
    <mergeCell ref="F18:G18"/>
    <mergeCell ref="D19:E19"/>
    <mergeCell ref="F19:G19"/>
    <mergeCell ref="A11:C11"/>
    <mergeCell ref="A3:J9"/>
    <mergeCell ref="D11:J13"/>
    <mergeCell ref="C15:D15"/>
    <mergeCell ref="C16:D16"/>
  </mergeCells>
  <hyperlinks>
    <hyperlink ref="F19" r:id="rId1" display="https://www.americanas.com.br/produto/4803723561?epar=bp_pl_00_go_cc_pmax_geral&amp;opn=YSMESP&amp;WT.srch=1&amp;aid=6239da2e132c90a7860d56ba&amp;sid=38714745000276&amp;pid=4803723561&amp;chave=vnzpla_6239da2e132c90a7860d56ba_38714745000276_4803723561&amp;offerId=622a119c87c00289c252c3f0&amp;gclid=Cj0KCQjwhqaVBhCxARIsAHK1tiNmFPt1y5hAeIVbFSg9wbTIcXtMnsuCSHgDr1k7r0pBZwB02n8LxnIaAh__EALw_wcB" xr:uid="{2779616A-7307-4D20-9624-8CB03A976B9D}"/>
    <hyperlink ref="F20" r:id="rId2" xr:uid="{4C75A021-2B78-452E-8F92-23B046AFBD88}"/>
    <hyperlink ref="F21" r:id="rId3" display="https://www.magazineluiza.com.br/holofote-refletor-de-led-linear-torre-400w-ip68-branco-bivolt-rca/p/je8bc29f00/cj/rftr/?&amp;seller_id=pjiluminacao&amp;utm_source=google&amp;utm_medium=pla&amp;utm_campaign=&amp;partner_id=69579&amp;gclid=CjwKCAjwkaSaBhA4EiwALBgQaHbPJdyMiLMPOXRBEQ6AudJfCvENcsUP7BrLUHbqWwnD7V_j7U1wQRoCo5UQAvD_BwE&amp;gclsrc=aw.ds" xr:uid="{6B71D2BA-1818-40E2-A585-53D13D6A0CD6}"/>
    <hyperlink ref="F27" r:id="rId4" display="https://www.americanas.com.br/produto/4762441671?epar=bp_pl_00_go_cc_pmax_geral&amp;opn=YSMESP&amp;WT.srch=1&amp;offerId=621d5e4f87c00289c28ce8f2&amp;gclid=Cj0KCQjwhqaVBhCxARIsAHK1tiPjNcnNnUriQFT3xcjONNfpzf3Hq5qxofU933_SLXGZw5jM10PmR2oaAqpiEALw_wcB&amp;cor=Preto&amp;voltagem=110V%2F220V" xr:uid="{1EE87DA0-B773-41DA-BABE-0DC59B9AB8C7}"/>
    <hyperlink ref="F28" r:id="rId5" display="https://www.shoptime.com.br/produto/4762441671?epar=bp_pl_px_go_pmax_casaeconstrucao&amp;opn=GOOGLEXML&amp;WT.srch=1&amp;offerId=621d5e4e01eed16e395b7cee&amp;gclid=Cj0KCQjwhqaVBhCxARIsAHK1tiODgeAZHBn4YsvUsJFsXUybtw5_lxpLwHyBhhbZ8Tq80nHFUhfBwGcaAmItEALw_wcB&amp;cor=Preto&amp;voltagem=110V%2F220V" xr:uid="{4FED0C92-0658-4D09-934C-76B57DF99C3F}"/>
    <hyperlink ref="F29" r:id="rId6" xr:uid="{2B3CA12A-6928-467C-AEBE-0A89176CB35F}"/>
    <hyperlink ref="F43" r:id="rId7" display="https://www.efacil.com.br/loja/produto/access-point-intelbras-ap310-wireless-10-100mbps-2310201/?canal=ca_9784&amp;gclid=CjwKCAjw_ISWBhBkEiwAdqxb9i5sBNdTexuqHYLK5g45cnGJrWCU7m3mNhUc6gnna0XBViewGxZx_RoCWuoQAvD_BwE" xr:uid="{33D07805-B364-4410-83D9-2B15A04D8181}"/>
    <hyperlink ref="F44" r:id="rId8" display="https://www.amazon.com.br/Access-Corporativo-Intelbras-Roteadores-Branca/dp/B077V83M34/ref=asc_df_B077V83M34/?tag=googleshopp00-20&amp;linkCode=df0&amp;hvadid=379817877038&amp;hvpos=&amp;hvnetw=g&amp;hvrand=13058979084620637979&amp;hvpone=&amp;hvptwo=&amp;hvqmt=&amp;hvdev=c&amp;hvdvcmdl=&amp;hvlocint=&amp;hvlocphy=1001544&amp;hvtargid=pla-811830116098&amp;psc=1" xr:uid="{216D4C76-6090-4A43-B0EB-23CCAAABE30B}"/>
    <hyperlink ref="F45" r:id="rId9" display="https://www.magazineluiza.com.br/access-point-coorporativo-300mbps-ap-310-bivolt-auto-modelo-4750008-intelbras/p/abg05k245b/in/sspt/?&amp;seller_id=mirandacomputacao&amp;utm_source=google&amp;utm_medium=pla&amp;utm_campaign=&amp;partner_id=65409&amp;gclid=CjwKCAjw_ISWBhBkEiwAdqxb9rtALjYVAc2nUC04sjKUvcVYJC7n8lJ9llk78nN52ZYv4XgCC7GA3hoCuxsQAvD_BwE&amp;gclsrc=aw.ds" xr:uid="{C458034F-DFB6-4AB7-89B7-94A3334E4110}"/>
    <hyperlink ref="F35" r:id="rId10" xr:uid="{4D251E7C-D450-43B5-A428-EFD75A7B532A}"/>
  </hyperlinks>
  <pageMargins left="0.511811024" right="0.511811024" top="0.78740157499999996" bottom="0.78740157499999996" header="0.31496062000000002" footer="0.31496062000000002"/>
  <pageSetup paperSize="256" scale="53" orientation="portrait" r:id="rId11"/>
  <drawing r:id="rId1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E1BAA-1548-4629-96B6-EF7B752DF28B}">
  <sheetPr>
    <tabColor rgb="FFC8D1FC"/>
    <pageSetUpPr fitToPage="1"/>
  </sheetPr>
  <dimension ref="A1:G337"/>
  <sheetViews>
    <sheetView view="pageBreakPreview" zoomScale="55" zoomScaleNormal="100" zoomScaleSheetLayoutView="55" workbookViewId="0">
      <selection activeCell="M10" sqref="M10"/>
    </sheetView>
  </sheetViews>
  <sheetFormatPr defaultColWidth="15.42578125" defaultRowHeight="11.25"/>
  <cols>
    <col min="1" max="1" width="16.42578125" style="311" customWidth="1"/>
    <col min="2" max="2" width="44" style="301" customWidth="1"/>
    <col min="3" max="3" width="6.7109375" style="301" customWidth="1"/>
    <col min="4" max="4" width="15" style="301" customWidth="1"/>
    <col min="5" max="5" width="67.140625" style="301" customWidth="1"/>
    <col min="6" max="6" width="10.7109375" style="301" customWidth="1"/>
    <col min="7" max="7" width="7.7109375" style="301" customWidth="1"/>
    <col min="8" max="8" width="16.5703125" style="301" customWidth="1"/>
    <col min="9" max="9" width="11.85546875" style="301" customWidth="1"/>
    <col min="10" max="10" width="10.42578125" style="301" bestFit="1" customWidth="1"/>
    <col min="11" max="11" width="5.7109375" style="301" customWidth="1"/>
    <col min="12" max="248" width="15.42578125" style="301"/>
    <col min="249" max="249" width="10.7109375" style="301" customWidth="1"/>
    <col min="250" max="250" width="32.5703125" style="301" customWidth="1"/>
    <col min="251" max="251" width="4.42578125" style="301" bestFit="1" customWidth="1"/>
    <col min="252" max="252" width="6.5703125" style="301" customWidth="1"/>
    <col min="253" max="253" width="9.7109375" style="301" customWidth="1"/>
    <col min="254" max="254" width="10.7109375" style="301" customWidth="1"/>
    <col min="255" max="255" width="7.7109375" style="301" customWidth="1"/>
    <col min="256" max="256" width="9.7109375" style="301" customWidth="1"/>
    <col min="257" max="257" width="10.7109375" style="301" customWidth="1"/>
    <col min="258" max="258" width="7.7109375" style="301" customWidth="1"/>
    <col min="259" max="259" width="9.7109375" style="301" customWidth="1"/>
    <col min="260" max="260" width="10.7109375" style="301" customWidth="1"/>
    <col min="261" max="261" width="7.7109375" style="301" customWidth="1"/>
    <col min="262" max="262" width="13" style="301" customWidth="1"/>
    <col min="263" max="263" width="15.28515625" style="301" bestFit="1" customWidth="1"/>
    <col min="264" max="264" width="16.5703125" style="301" customWidth="1"/>
    <col min="265" max="265" width="11.85546875" style="301" customWidth="1"/>
    <col min="266" max="266" width="10.42578125" style="301" bestFit="1" customWidth="1"/>
    <col min="267" max="267" width="5.7109375" style="301" customWidth="1"/>
    <col min="268" max="504" width="15.42578125" style="301"/>
    <col min="505" max="505" width="10.7109375" style="301" customWidth="1"/>
    <col min="506" max="506" width="32.5703125" style="301" customWidth="1"/>
    <col min="507" max="507" width="4.42578125" style="301" bestFit="1" customWidth="1"/>
    <col min="508" max="508" width="6.5703125" style="301" customWidth="1"/>
    <col min="509" max="509" width="9.7109375" style="301" customWidth="1"/>
    <col min="510" max="510" width="10.7109375" style="301" customWidth="1"/>
    <col min="511" max="511" width="7.7109375" style="301" customWidth="1"/>
    <col min="512" max="512" width="9.7109375" style="301" customWidth="1"/>
    <col min="513" max="513" width="10.7109375" style="301" customWidth="1"/>
    <col min="514" max="514" width="7.7109375" style="301" customWidth="1"/>
    <col min="515" max="515" width="9.7109375" style="301" customWidth="1"/>
    <col min="516" max="516" width="10.7109375" style="301" customWidth="1"/>
    <col min="517" max="517" width="7.7109375" style="301" customWidth="1"/>
    <col min="518" max="518" width="13" style="301" customWidth="1"/>
    <col min="519" max="519" width="15.28515625" style="301" bestFit="1" customWidth="1"/>
    <col min="520" max="520" width="16.5703125" style="301" customWidth="1"/>
    <col min="521" max="521" width="11.85546875" style="301" customWidth="1"/>
    <col min="522" max="522" width="10.42578125" style="301" bestFit="1" customWidth="1"/>
    <col min="523" max="523" width="5.7109375" style="301" customWidth="1"/>
    <col min="524" max="760" width="15.42578125" style="301"/>
    <col min="761" max="761" width="10.7109375" style="301" customWidth="1"/>
    <col min="762" max="762" width="32.5703125" style="301" customWidth="1"/>
    <col min="763" max="763" width="4.42578125" style="301" bestFit="1" customWidth="1"/>
    <col min="764" max="764" width="6.5703125" style="301" customWidth="1"/>
    <col min="765" max="765" width="9.7109375" style="301" customWidth="1"/>
    <col min="766" max="766" width="10.7109375" style="301" customWidth="1"/>
    <col min="767" max="767" width="7.7109375" style="301" customWidth="1"/>
    <col min="768" max="768" width="9.7109375" style="301" customWidth="1"/>
    <col min="769" max="769" width="10.7109375" style="301" customWidth="1"/>
    <col min="770" max="770" width="7.7109375" style="301" customWidth="1"/>
    <col min="771" max="771" width="9.7109375" style="301" customWidth="1"/>
    <col min="772" max="772" width="10.7109375" style="301" customWidth="1"/>
    <col min="773" max="773" width="7.7109375" style="301" customWidth="1"/>
    <col min="774" max="774" width="13" style="301" customWidth="1"/>
    <col min="775" max="775" width="15.28515625" style="301" bestFit="1" customWidth="1"/>
    <col min="776" max="776" width="16.5703125" style="301" customWidth="1"/>
    <col min="777" max="777" width="11.85546875" style="301" customWidth="1"/>
    <col min="778" max="778" width="10.42578125" style="301" bestFit="1" customWidth="1"/>
    <col min="779" max="779" width="5.7109375" style="301" customWidth="1"/>
    <col min="780" max="1016" width="15.42578125" style="301"/>
    <col min="1017" max="1017" width="10.7109375" style="301" customWidth="1"/>
    <col min="1018" max="1018" width="32.5703125" style="301" customWidth="1"/>
    <col min="1019" max="1019" width="4.42578125" style="301" bestFit="1" customWidth="1"/>
    <col min="1020" max="1020" width="6.5703125" style="301" customWidth="1"/>
    <col min="1021" max="1021" width="9.7109375" style="301" customWidth="1"/>
    <col min="1022" max="1022" width="10.7109375" style="301" customWidth="1"/>
    <col min="1023" max="1023" width="7.7109375" style="301" customWidth="1"/>
    <col min="1024" max="1024" width="9.7109375" style="301" customWidth="1"/>
    <col min="1025" max="1025" width="10.7109375" style="301" customWidth="1"/>
    <col min="1026" max="1026" width="7.7109375" style="301" customWidth="1"/>
    <col min="1027" max="1027" width="9.7109375" style="301" customWidth="1"/>
    <col min="1028" max="1028" width="10.7109375" style="301" customWidth="1"/>
    <col min="1029" max="1029" width="7.7109375" style="301" customWidth="1"/>
    <col min="1030" max="1030" width="13" style="301" customWidth="1"/>
    <col min="1031" max="1031" width="15.28515625" style="301" bestFit="1" customWidth="1"/>
    <col min="1032" max="1032" width="16.5703125" style="301" customWidth="1"/>
    <col min="1033" max="1033" width="11.85546875" style="301" customWidth="1"/>
    <col min="1034" max="1034" width="10.42578125" style="301" bestFit="1" customWidth="1"/>
    <col min="1035" max="1035" width="5.7109375" style="301" customWidth="1"/>
    <col min="1036" max="1272" width="15.42578125" style="301"/>
    <col min="1273" max="1273" width="10.7109375" style="301" customWidth="1"/>
    <col min="1274" max="1274" width="32.5703125" style="301" customWidth="1"/>
    <col min="1275" max="1275" width="4.42578125" style="301" bestFit="1" customWidth="1"/>
    <col min="1276" max="1276" width="6.5703125" style="301" customWidth="1"/>
    <col min="1277" max="1277" width="9.7109375" style="301" customWidth="1"/>
    <col min="1278" max="1278" width="10.7109375" style="301" customWidth="1"/>
    <col min="1279" max="1279" width="7.7109375" style="301" customWidth="1"/>
    <col min="1280" max="1280" width="9.7109375" style="301" customWidth="1"/>
    <col min="1281" max="1281" width="10.7109375" style="301" customWidth="1"/>
    <col min="1282" max="1282" width="7.7109375" style="301" customWidth="1"/>
    <col min="1283" max="1283" width="9.7109375" style="301" customWidth="1"/>
    <col min="1284" max="1284" width="10.7109375" style="301" customWidth="1"/>
    <col min="1285" max="1285" width="7.7109375" style="301" customWidth="1"/>
    <col min="1286" max="1286" width="13" style="301" customWidth="1"/>
    <col min="1287" max="1287" width="15.28515625" style="301" bestFit="1" customWidth="1"/>
    <col min="1288" max="1288" width="16.5703125" style="301" customWidth="1"/>
    <col min="1289" max="1289" width="11.85546875" style="301" customWidth="1"/>
    <col min="1290" max="1290" width="10.42578125" style="301" bestFit="1" customWidth="1"/>
    <col min="1291" max="1291" width="5.7109375" style="301" customWidth="1"/>
    <col min="1292" max="1528" width="15.42578125" style="301"/>
    <col min="1529" max="1529" width="10.7109375" style="301" customWidth="1"/>
    <col min="1530" max="1530" width="32.5703125" style="301" customWidth="1"/>
    <col min="1531" max="1531" width="4.42578125" style="301" bestFit="1" customWidth="1"/>
    <col min="1532" max="1532" width="6.5703125" style="301" customWidth="1"/>
    <col min="1533" max="1533" width="9.7109375" style="301" customWidth="1"/>
    <col min="1534" max="1534" width="10.7109375" style="301" customWidth="1"/>
    <col min="1535" max="1535" width="7.7109375" style="301" customWidth="1"/>
    <col min="1536" max="1536" width="9.7109375" style="301" customWidth="1"/>
    <col min="1537" max="1537" width="10.7109375" style="301" customWidth="1"/>
    <col min="1538" max="1538" width="7.7109375" style="301" customWidth="1"/>
    <col min="1539" max="1539" width="9.7109375" style="301" customWidth="1"/>
    <col min="1540" max="1540" width="10.7109375" style="301" customWidth="1"/>
    <col min="1541" max="1541" width="7.7109375" style="301" customWidth="1"/>
    <col min="1542" max="1542" width="13" style="301" customWidth="1"/>
    <col min="1543" max="1543" width="15.28515625" style="301" bestFit="1" customWidth="1"/>
    <col min="1544" max="1544" width="16.5703125" style="301" customWidth="1"/>
    <col min="1545" max="1545" width="11.85546875" style="301" customWidth="1"/>
    <col min="1546" max="1546" width="10.42578125" style="301" bestFit="1" customWidth="1"/>
    <col min="1547" max="1547" width="5.7109375" style="301" customWidth="1"/>
    <col min="1548" max="1784" width="15.42578125" style="301"/>
    <col min="1785" max="1785" width="10.7109375" style="301" customWidth="1"/>
    <col min="1786" max="1786" width="32.5703125" style="301" customWidth="1"/>
    <col min="1787" max="1787" width="4.42578125" style="301" bestFit="1" customWidth="1"/>
    <col min="1788" max="1788" width="6.5703125" style="301" customWidth="1"/>
    <col min="1789" max="1789" width="9.7109375" style="301" customWidth="1"/>
    <col min="1790" max="1790" width="10.7109375" style="301" customWidth="1"/>
    <col min="1791" max="1791" width="7.7109375" style="301" customWidth="1"/>
    <col min="1792" max="1792" width="9.7109375" style="301" customWidth="1"/>
    <col min="1793" max="1793" width="10.7109375" style="301" customWidth="1"/>
    <col min="1794" max="1794" width="7.7109375" style="301" customWidth="1"/>
    <col min="1795" max="1795" width="9.7109375" style="301" customWidth="1"/>
    <col min="1796" max="1796" width="10.7109375" style="301" customWidth="1"/>
    <col min="1797" max="1797" width="7.7109375" style="301" customWidth="1"/>
    <col min="1798" max="1798" width="13" style="301" customWidth="1"/>
    <col min="1799" max="1799" width="15.28515625" style="301" bestFit="1" customWidth="1"/>
    <col min="1800" max="1800" width="16.5703125" style="301" customWidth="1"/>
    <col min="1801" max="1801" width="11.85546875" style="301" customWidth="1"/>
    <col min="1802" max="1802" width="10.42578125" style="301" bestFit="1" customWidth="1"/>
    <col min="1803" max="1803" width="5.7109375" style="301" customWidth="1"/>
    <col min="1804" max="2040" width="15.42578125" style="301"/>
    <col min="2041" max="2041" width="10.7109375" style="301" customWidth="1"/>
    <col min="2042" max="2042" width="32.5703125" style="301" customWidth="1"/>
    <col min="2043" max="2043" width="4.42578125" style="301" bestFit="1" customWidth="1"/>
    <col min="2044" max="2044" width="6.5703125" style="301" customWidth="1"/>
    <col min="2045" max="2045" width="9.7109375" style="301" customWidth="1"/>
    <col min="2046" max="2046" width="10.7109375" style="301" customWidth="1"/>
    <col min="2047" max="2047" width="7.7109375" style="301" customWidth="1"/>
    <col min="2048" max="2048" width="9.7109375" style="301" customWidth="1"/>
    <col min="2049" max="2049" width="10.7109375" style="301" customWidth="1"/>
    <col min="2050" max="2050" width="7.7109375" style="301" customWidth="1"/>
    <col min="2051" max="2051" width="9.7109375" style="301" customWidth="1"/>
    <col min="2052" max="2052" width="10.7109375" style="301" customWidth="1"/>
    <col min="2053" max="2053" width="7.7109375" style="301" customWidth="1"/>
    <col min="2054" max="2054" width="13" style="301" customWidth="1"/>
    <col min="2055" max="2055" width="15.28515625" style="301" bestFit="1" customWidth="1"/>
    <col min="2056" max="2056" width="16.5703125" style="301" customWidth="1"/>
    <col min="2057" max="2057" width="11.85546875" style="301" customWidth="1"/>
    <col min="2058" max="2058" width="10.42578125" style="301" bestFit="1" customWidth="1"/>
    <col min="2059" max="2059" width="5.7109375" style="301" customWidth="1"/>
    <col min="2060" max="2296" width="15.42578125" style="301"/>
    <col min="2297" max="2297" width="10.7109375" style="301" customWidth="1"/>
    <col min="2298" max="2298" width="32.5703125" style="301" customWidth="1"/>
    <col min="2299" max="2299" width="4.42578125" style="301" bestFit="1" customWidth="1"/>
    <col min="2300" max="2300" width="6.5703125" style="301" customWidth="1"/>
    <col min="2301" max="2301" width="9.7109375" style="301" customWidth="1"/>
    <col min="2302" max="2302" width="10.7109375" style="301" customWidth="1"/>
    <col min="2303" max="2303" width="7.7109375" style="301" customWidth="1"/>
    <col min="2304" max="2304" width="9.7109375" style="301" customWidth="1"/>
    <col min="2305" max="2305" width="10.7109375" style="301" customWidth="1"/>
    <col min="2306" max="2306" width="7.7109375" style="301" customWidth="1"/>
    <col min="2307" max="2307" width="9.7109375" style="301" customWidth="1"/>
    <col min="2308" max="2308" width="10.7109375" style="301" customWidth="1"/>
    <col min="2309" max="2309" width="7.7109375" style="301" customWidth="1"/>
    <col min="2310" max="2310" width="13" style="301" customWidth="1"/>
    <col min="2311" max="2311" width="15.28515625" style="301" bestFit="1" customWidth="1"/>
    <col min="2312" max="2312" width="16.5703125" style="301" customWidth="1"/>
    <col min="2313" max="2313" width="11.85546875" style="301" customWidth="1"/>
    <col min="2314" max="2314" width="10.42578125" style="301" bestFit="1" customWidth="1"/>
    <col min="2315" max="2315" width="5.7109375" style="301" customWidth="1"/>
    <col min="2316" max="2552" width="15.42578125" style="301"/>
    <col min="2553" max="2553" width="10.7109375" style="301" customWidth="1"/>
    <col min="2554" max="2554" width="32.5703125" style="301" customWidth="1"/>
    <col min="2555" max="2555" width="4.42578125" style="301" bestFit="1" customWidth="1"/>
    <col min="2556" max="2556" width="6.5703125" style="301" customWidth="1"/>
    <col min="2557" max="2557" width="9.7109375" style="301" customWidth="1"/>
    <col min="2558" max="2558" width="10.7109375" style="301" customWidth="1"/>
    <col min="2559" max="2559" width="7.7109375" style="301" customWidth="1"/>
    <col min="2560" max="2560" width="9.7109375" style="301" customWidth="1"/>
    <col min="2561" max="2561" width="10.7109375" style="301" customWidth="1"/>
    <col min="2562" max="2562" width="7.7109375" style="301" customWidth="1"/>
    <col min="2563" max="2563" width="9.7109375" style="301" customWidth="1"/>
    <col min="2564" max="2564" width="10.7109375" style="301" customWidth="1"/>
    <col min="2565" max="2565" width="7.7109375" style="301" customWidth="1"/>
    <col min="2566" max="2566" width="13" style="301" customWidth="1"/>
    <col min="2567" max="2567" width="15.28515625" style="301" bestFit="1" customWidth="1"/>
    <col min="2568" max="2568" width="16.5703125" style="301" customWidth="1"/>
    <col min="2569" max="2569" width="11.85546875" style="301" customWidth="1"/>
    <col min="2570" max="2570" width="10.42578125" style="301" bestFit="1" customWidth="1"/>
    <col min="2571" max="2571" width="5.7109375" style="301" customWidth="1"/>
    <col min="2572" max="2808" width="15.42578125" style="301"/>
    <col min="2809" max="2809" width="10.7109375" style="301" customWidth="1"/>
    <col min="2810" max="2810" width="32.5703125" style="301" customWidth="1"/>
    <col min="2811" max="2811" width="4.42578125" style="301" bestFit="1" customWidth="1"/>
    <col min="2812" max="2812" width="6.5703125" style="301" customWidth="1"/>
    <col min="2813" max="2813" width="9.7109375" style="301" customWidth="1"/>
    <col min="2814" max="2814" width="10.7109375" style="301" customWidth="1"/>
    <col min="2815" max="2815" width="7.7109375" style="301" customWidth="1"/>
    <col min="2816" max="2816" width="9.7109375" style="301" customWidth="1"/>
    <col min="2817" max="2817" width="10.7109375" style="301" customWidth="1"/>
    <col min="2818" max="2818" width="7.7109375" style="301" customWidth="1"/>
    <col min="2819" max="2819" width="9.7109375" style="301" customWidth="1"/>
    <col min="2820" max="2820" width="10.7109375" style="301" customWidth="1"/>
    <col min="2821" max="2821" width="7.7109375" style="301" customWidth="1"/>
    <col min="2822" max="2822" width="13" style="301" customWidth="1"/>
    <col min="2823" max="2823" width="15.28515625" style="301" bestFit="1" customWidth="1"/>
    <col min="2824" max="2824" width="16.5703125" style="301" customWidth="1"/>
    <col min="2825" max="2825" width="11.85546875" style="301" customWidth="1"/>
    <col min="2826" max="2826" width="10.42578125" style="301" bestFit="1" customWidth="1"/>
    <col min="2827" max="2827" width="5.7109375" style="301" customWidth="1"/>
    <col min="2828" max="3064" width="15.42578125" style="301"/>
    <col min="3065" max="3065" width="10.7109375" style="301" customWidth="1"/>
    <col min="3066" max="3066" width="32.5703125" style="301" customWidth="1"/>
    <col min="3067" max="3067" width="4.42578125" style="301" bestFit="1" customWidth="1"/>
    <col min="3068" max="3068" width="6.5703125" style="301" customWidth="1"/>
    <col min="3069" max="3069" width="9.7109375" style="301" customWidth="1"/>
    <col min="3070" max="3070" width="10.7109375" style="301" customWidth="1"/>
    <col min="3071" max="3071" width="7.7109375" style="301" customWidth="1"/>
    <col min="3072" max="3072" width="9.7109375" style="301" customWidth="1"/>
    <col min="3073" max="3073" width="10.7109375" style="301" customWidth="1"/>
    <col min="3074" max="3074" width="7.7109375" style="301" customWidth="1"/>
    <col min="3075" max="3075" width="9.7109375" style="301" customWidth="1"/>
    <col min="3076" max="3076" width="10.7109375" style="301" customWidth="1"/>
    <col min="3077" max="3077" width="7.7109375" style="301" customWidth="1"/>
    <col min="3078" max="3078" width="13" style="301" customWidth="1"/>
    <col min="3079" max="3079" width="15.28515625" style="301" bestFit="1" customWidth="1"/>
    <col min="3080" max="3080" width="16.5703125" style="301" customWidth="1"/>
    <col min="3081" max="3081" width="11.85546875" style="301" customWidth="1"/>
    <col min="3082" max="3082" width="10.42578125" style="301" bestFit="1" customWidth="1"/>
    <col min="3083" max="3083" width="5.7109375" style="301" customWidth="1"/>
    <col min="3084" max="3320" width="15.42578125" style="301"/>
    <col min="3321" max="3321" width="10.7109375" style="301" customWidth="1"/>
    <col min="3322" max="3322" width="32.5703125" style="301" customWidth="1"/>
    <col min="3323" max="3323" width="4.42578125" style="301" bestFit="1" customWidth="1"/>
    <col min="3324" max="3324" width="6.5703125" style="301" customWidth="1"/>
    <col min="3325" max="3325" width="9.7109375" style="301" customWidth="1"/>
    <col min="3326" max="3326" width="10.7109375" style="301" customWidth="1"/>
    <col min="3327" max="3327" width="7.7109375" style="301" customWidth="1"/>
    <col min="3328" max="3328" width="9.7109375" style="301" customWidth="1"/>
    <col min="3329" max="3329" width="10.7109375" style="301" customWidth="1"/>
    <col min="3330" max="3330" width="7.7109375" style="301" customWidth="1"/>
    <col min="3331" max="3331" width="9.7109375" style="301" customWidth="1"/>
    <col min="3332" max="3332" width="10.7109375" style="301" customWidth="1"/>
    <col min="3333" max="3333" width="7.7109375" style="301" customWidth="1"/>
    <col min="3334" max="3334" width="13" style="301" customWidth="1"/>
    <col min="3335" max="3335" width="15.28515625" style="301" bestFit="1" customWidth="1"/>
    <col min="3336" max="3336" width="16.5703125" style="301" customWidth="1"/>
    <col min="3337" max="3337" width="11.85546875" style="301" customWidth="1"/>
    <col min="3338" max="3338" width="10.42578125" style="301" bestFit="1" customWidth="1"/>
    <col min="3339" max="3339" width="5.7109375" style="301" customWidth="1"/>
    <col min="3340" max="3576" width="15.42578125" style="301"/>
    <col min="3577" max="3577" width="10.7109375" style="301" customWidth="1"/>
    <col min="3578" max="3578" width="32.5703125" style="301" customWidth="1"/>
    <col min="3579" max="3579" width="4.42578125" style="301" bestFit="1" customWidth="1"/>
    <col min="3580" max="3580" width="6.5703125" style="301" customWidth="1"/>
    <col min="3581" max="3581" width="9.7109375" style="301" customWidth="1"/>
    <col min="3582" max="3582" width="10.7109375" style="301" customWidth="1"/>
    <col min="3583" max="3583" width="7.7109375" style="301" customWidth="1"/>
    <col min="3584" max="3584" width="9.7109375" style="301" customWidth="1"/>
    <col min="3585" max="3585" width="10.7109375" style="301" customWidth="1"/>
    <col min="3586" max="3586" width="7.7109375" style="301" customWidth="1"/>
    <col min="3587" max="3587" width="9.7109375" style="301" customWidth="1"/>
    <col min="3588" max="3588" width="10.7109375" style="301" customWidth="1"/>
    <col min="3589" max="3589" width="7.7109375" style="301" customWidth="1"/>
    <col min="3590" max="3590" width="13" style="301" customWidth="1"/>
    <col min="3591" max="3591" width="15.28515625" style="301" bestFit="1" customWidth="1"/>
    <col min="3592" max="3592" width="16.5703125" style="301" customWidth="1"/>
    <col min="3593" max="3593" width="11.85546875" style="301" customWidth="1"/>
    <col min="3594" max="3594" width="10.42578125" style="301" bestFit="1" customWidth="1"/>
    <col min="3595" max="3595" width="5.7109375" style="301" customWidth="1"/>
    <col min="3596" max="3832" width="15.42578125" style="301"/>
    <col min="3833" max="3833" width="10.7109375" style="301" customWidth="1"/>
    <col min="3834" max="3834" width="32.5703125" style="301" customWidth="1"/>
    <col min="3835" max="3835" width="4.42578125" style="301" bestFit="1" customWidth="1"/>
    <col min="3836" max="3836" width="6.5703125" style="301" customWidth="1"/>
    <col min="3837" max="3837" width="9.7109375" style="301" customWidth="1"/>
    <col min="3838" max="3838" width="10.7109375" style="301" customWidth="1"/>
    <col min="3839" max="3839" width="7.7109375" style="301" customWidth="1"/>
    <col min="3840" max="3840" width="9.7109375" style="301" customWidth="1"/>
    <col min="3841" max="3841" width="10.7109375" style="301" customWidth="1"/>
    <col min="3842" max="3842" width="7.7109375" style="301" customWidth="1"/>
    <col min="3843" max="3843" width="9.7109375" style="301" customWidth="1"/>
    <col min="3844" max="3844" width="10.7109375" style="301" customWidth="1"/>
    <col min="3845" max="3845" width="7.7109375" style="301" customWidth="1"/>
    <col min="3846" max="3846" width="13" style="301" customWidth="1"/>
    <col min="3847" max="3847" width="15.28515625" style="301" bestFit="1" customWidth="1"/>
    <col min="3848" max="3848" width="16.5703125" style="301" customWidth="1"/>
    <col min="3849" max="3849" width="11.85546875" style="301" customWidth="1"/>
    <col min="3850" max="3850" width="10.42578125" style="301" bestFit="1" customWidth="1"/>
    <col min="3851" max="3851" width="5.7109375" style="301" customWidth="1"/>
    <col min="3852" max="4088" width="15.42578125" style="301"/>
    <col min="4089" max="4089" width="10.7109375" style="301" customWidth="1"/>
    <col min="4090" max="4090" width="32.5703125" style="301" customWidth="1"/>
    <col min="4091" max="4091" width="4.42578125" style="301" bestFit="1" customWidth="1"/>
    <col min="4092" max="4092" width="6.5703125" style="301" customWidth="1"/>
    <col min="4093" max="4093" width="9.7109375" style="301" customWidth="1"/>
    <col min="4094" max="4094" width="10.7109375" style="301" customWidth="1"/>
    <col min="4095" max="4095" width="7.7109375" style="301" customWidth="1"/>
    <col min="4096" max="4096" width="9.7109375" style="301" customWidth="1"/>
    <col min="4097" max="4097" width="10.7109375" style="301" customWidth="1"/>
    <col min="4098" max="4098" width="7.7109375" style="301" customWidth="1"/>
    <col min="4099" max="4099" width="9.7109375" style="301" customWidth="1"/>
    <col min="4100" max="4100" width="10.7109375" style="301" customWidth="1"/>
    <col min="4101" max="4101" width="7.7109375" style="301" customWidth="1"/>
    <col min="4102" max="4102" width="13" style="301" customWidth="1"/>
    <col min="4103" max="4103" width="15.28515625" style="301" bestFit="1" customWidth="1"/>
    <col min="4104" max="4104" width="16.5703125" style="301" customWidth="1"/>
    <col min="4105" max="4105" width="11.85546875" style="301" customWidth="1"/>
    <col min="4106" max="4106" width="10.42578125" style="301" bestFit="1" customWidth="1"/>
    <col min="4107" max="4107" width="5.7109375" style="301" customWidth="1"/>
    <col min="4108" max="4344" width="15.42578125" style="301"/>
    <col min="4345" max="4345" width="10.7109375" style="301" customWidth="1"/>
    <col min="4346" max="4346" width="32.5703125" style="301" customWidth="1"/>
    <col min="4347" max="4347" width="4.42578125" style="301" bestFit="1" customWidth="1"/>
    <col min="4348" max="4348" width="6.5703125" style="301" customWidth="1"/>
    <col min="4349" max="4349" width="9.7109375" style="301" customWidth="1"/>
    <col min="4350" max="4350" width="10.7109375" style="301" customWidth="1"/>
    <col min="4351" max="4351" width="7.7109375" style="301" customWidth="1"/>
    <col min="4352" max="4352" width="9.7109375" style="301" customWidth="1"/>
    <col min="4353" max="4353" width="10.7109375" style="301" customWidth="1"/>
    <col min="4354" max="4354" width="7.7109375" style="301" customWidth="1"/>
    <col min="4355" max="4355" width="9.7109375" style="301" customWidth="1"/>
    <col min="4356" max="4356" width="10.7109375" style="301" customWidth="1"/>
    <col min="4357" max="4357" width="7.7109375" style="301" customWidth="1"/>
    <col min="4358" max="4358" width="13" style="301" customWidth="1"/>
    <col min="4359" max="4359" width="15.28515625" style="301" bestFit="1" customWidth="1"/>
    <col min="4360" max="4360" width="16.5703125" style="301" customWidth="1"/>
    <col min="4361" max="4361" width="11.85546875" style="301" customWidth="1"/>
    <col min="4362" max="4362" width="10.42578125" style="301" bestFit="1" customWidth="1"/>
    <col min="4363" max="4363" width="5.7109375" style="301" customWidth="1"/>
    <col min="4364" max="4600" width="15.42578125" style="301"/>
    <col min="4601" max="4601" width="10.7109375" style="301" customWidth="1"/>
    <col min="4602" max="4602" width="32.5703125" style="301" customWidth="1"/>
    <col min="4603" max="4603" width="4.42578125" style="301" bestFit="1" customWidth="1"/>
    <col min="4604" max="4604" width="6.5703125" style="301" customWidth="1"/>
    <col min="4605" max="4605" width="9.7109375" style="301" customWidth="1"/>
    <col min="4606" max="4606" width="10.7109375" style="301" customWidth="1"/>
    <col min="4607" max="4607" width="7.7109375" style="301" customWidth="1"/>
    <col min="4608" max="4608" width="9.7109375" style="301" customWidth="1"/>
    <col min="4609" max="4609" width="10.7109375" style="301" customWidth="1"/>
    <col min="4610" max="4610" width="7.7109375" style="301" customWidth="1"/>
    <col min="4611" max="4611" width="9.7109375" style="301" customWidth="1"/>
    <col min="4612" max="4612" width="10.7109375" style="301" customWidth="1"/>
    <col min="4613" max="4613" width="7.7109375" style="301" customWidth="1"/>
    <col min="4614" max="4614" width="13" style="301" customWidth="1"/>
    <col min="4615" max="4615" width="15.28515625" style="301" bestFit="1" customWidth="1"/>
    <col min="4616" max="4616" width="16.5703125" style="301" customWidth="1"/>
    <col min="4617" max="4617" width="11.85546875" style="301" customWidth="1"/>
    <col min="4618" max="4618" width="10.42578125" style="301" bestFit="1" customWidth="1"/>
    <col min="4619" max="4619" width="5.7109375" style="301" customWidth="1"/>
    <col min="4620" max="4856" width="15.42578125" style="301"/>
    <col min="4857" max="4857" width="10.7109375" style="301" customWidth="1"/>
    <col min="4858" max="4858" width="32.5703125" style="301" customWidth="1"/>
    <col min="4859" max="4859" width="4.42578125" style="301" bestFit="1" customWidth="1"/>
    <col min="4860" max="4860" width="6.5703125" style="301" customWidth="1"/>
    <col min="4861" max="4861" width="9.7109375" style="301" customWidth="1"/>
    <col min="4862" max="4862" width="10.7109375" style="301" customWidth="1"/>
    <col min="4863" max="4863" width="7.7109375" style="301" customWidth="1"/>
    <col min="4864" max="4864" width="9.7109375" style="301" customWidth="1"/>
    <col min="4865" max="4865" width="10.7109375" style="301" customWidth="1"/>
    <col min="4866" max="4866" width="7.7109375" style="301" customWidth="1"/>
    <col min="4867" max="4867" width="9.7109375" style="301" customWidth="1"/>
    <col min="4868" max="4868" width="10.7109375" style="301" customWidth="1"/>
    <col min="4869" max="4869" width="7.7109375" style="301" customWidth="1"/>
    <col min="4870" max="4870" width="13" style="301" customWidth="1"/>
    <col min="4871" max="4871" width="15.28515625" style="301" bestFit="1" customWidth="1"/>
    <col min="4872" max="4872" width="16.5703125" style="301" customWidth="1"/>
    <col min="4873" max="4873" width="11.85546875" style="301" customWidth="1"/>
    <col min="4874" max="4874" width="10.42578125" style="301" bestFit="1" customWidth="1"/>
    <col min="4875" max="4875" width="5.7109375" style="301" customWidth="1"/>
    <col min="4876" max="5112" width="15.42578125" style="301"/>
    <col min="5113" max="5113" width="10.7109375" style="301" customWidth="1"/>
    <col min="5114" max="5114" width="32.5703125" style="301" customWidth="1"/>
    <col min="5115" max="5115" width="4.42578125" style="301" bestFit="1" customWidth="1"/>
    <col min="5116" max="5116" width="6.5703125" style="301" customWidth="1"/>
    <col min="5117" max="5117" width="9.7109375" style="301" customWidth="1"/>
    <col min="5118" max="5118" width="10.7109375" style="301" customWidth="1"/>
    <col min="5119" max="5119" width="7.7109375" style="301" customWidth="1"/>
    <col min="5120" max="5120" width="9.7109375" style="301" customWidth="1"/>
    <col min="5121" max="5121" width="10.7109375" style="301" customWidth="1"/>
    <col min="5122" max="5122" width="7.7109375" style="301" customWidth="1"/>
    <col min="5123" max="5123" width="9.7109375" style="301" customWidth="1"/>
    <col min="5124" max="5124" width="10.7109375" style="301" customWidth="1"/>
    <col min="5125" max="5125" width="7.7109375" style="301" customWidth="1"/>
    <col min="5126" max="5126" width="13" style="301" customWidth="1"/>
    <col min="5127" max="5127" width="15.28515625" style="301" bestFit="1" customWidth="1"/>
    <col min="5128" max="5128" width="16.5703125" style="301" customWidth="1"/>
    <col min="5129" max="5129" width="11.85546875" style="301" customWidth="1"/>
    <col min="5130" max="5130" width="10.42578125" style="301" bestFit="1" customWidth="1"/>
    <col min="5131" max="5131" width="5.7109375" style="301" customWidth="1"/>
    <col min="5132" max="5368" width="15.42578125" style="301"/>
    <col min="5369" max="5369" width="10.7109375" style="301" customWidth="1"/>
    <col min="5370" max="5370" width="32.5703125" style="301" customWidth="1"/>
    <col min="5371" max="5371" width="4.42578125" style="301" bestFit="1" customWidth="1"/>
    <col min="5372" max="5372" width="6.5703125" style="301" customWidth="1"/>
    <col min="5373" max="5373" width="9.7109375" style="301" customWidth="1"/>
    <col min="5374" max="5374" width="10.7109375" style="301" customWidth="1"/>
    <col min="5375" max="5375" width="7.7109375" style="301" customWidth="1"/>
    <col min="5376" max="5376" width="9.7109375" style="301" customWidth="1"/>
    <col min="5377" max="5377" width="10.7109375" style="301" customWidth="1"/>
    <col min="5378" max="5378" width="7.7109375" style="301" customWidth="1"/>
    <col min="5379" max="5379" width="9.7109375" style="301" customWidth="1"/>
    <col min="5380" max="5380" width="10.7109375" style="301" customWidth="1"/>
    <col min="5381" max="5381" width="7.7109375" style="301" customWidth="1"/>
    <col min="5382" max="5382" width="13" style="301" customWidth="1"/>
    <col min="5383" max="5383" width="15.28515625" style="301" bestFit="1" customWidth="1"/>
    <col min="5384" max="5384" width="16.5703125" style="301" customWidth="1"/>
    <col min="5385" max="5385" width="11.85546875" style="301" customWidth="1"/>
    <col min="5386" max="5386" width="10.42578125" style="301" bestFit="1" customWidth="1"/>
    <col min="5387" max="5387" width="5.7109375" style="301" customWidth="1"/>
    <col min="5388" max="5624" width="15.42578125" style="301"/>
    <col min="5625" max="5625" width="10.7109375" style="301" customWidth="1"/>
    <col min="5626" max="5626" width="32.5703125" style="301" customWidth="1"/>
    <col min="5627" max="5627" width="4.42578125" style="301" bestFit="1" customWidth="1"/>
    <col min="5628" max="5628" width="6.5703125" style="301" customWidth="1"/>
    <col min="5629" max="5629" width="9.7109375" style="301" customWidth="1"/>
    <col min="5630" max="5630" width="10.7109375" style="301" customWidth="1"/>
    <col min="5631" max="5631" width="7.7109375" style="301" customWidth="1"/>
    <col min="5632" max="5632" width="9.7109375" style="301" customWidth="1"/>
    <col min="5633" max="5633" width="10.7109375" style="301" customWidth="1"/>
    <col min="5634" max="5634" width="7.7109375" style="301" customWidth="1"/>
    <col min="5635" max="5635" width="9.7109375" style="301" customWidth="1"/>
    <col min="5636" max="5636" width="10.7109375" style="301" customWidth="1"/>
    <col min="5637" max="5637" width="7.7109375" style="301" customWidth="1"/>
    <col min="5638" max="5638" width="13" style="301" customWidth="1"/>
    <col min="5639" max="5639" width="15.28515625" style="301" bestFit="1" customWidth="1"/>
    <col min="5640" max="5640" width="16.5703125" style="301" customWidth="1"/>
    <col min="5641" max="5641" width="11.85546875" style="301" customWidth="1"/>
    <col min="5642" max="5642" width="10.42578125" style="301" bestFit="1" customWidth="1"/>
    <col min="5643" max="5643" width="5.7109375" style="301" customWidth="1"/>
    <col min="5644" max="5880" width="15.42578125" style="301"/>
    <col min="5881" max="5881" width="10.7109375" style="301" customWidth="1"/>
    <col min="5882" max="5882" width="32.5703125" style="301" customWidth="1"/>
    <col min="5883" max="5883" width="4.42578125" style="301" bestFit="1" customWidth="1"/>
    <col min="5884" max="5884" width="6.5703125" style="301" customWidth="1"/>
    <col min="5885" max="5885" width="9.7109375" style="301" customWidth="1"/>
    <col min="5886" max="5886" width="10.7109375" style="301" customWidth="1"/>
    <col min="5887" max="5887" width="7.7109375" style="301" customWidth="1"/>
    <col min="5888" max="5888" width="9.7109375" style="301" customWidth="1"/>
    <col min="5889" max="5889" width="10.7109375" style="301" customWidth="1"/>
    <col min="5890" max="5890" width="7.7109375" style="301" customWidth="1"/>
    <col min="5891" max="5891" width="9.7109375" style="301" customWidth="1"/>
    <col min="5892" max="5892" width="10.7109375" style="301" customWidth="1"/>
    <col min="5893" max="5893" width="7.7109375" style="301" customWidth="1"/>
    <col min="5894" max="5894" width="13" style="301" customWidth="1"/>
    <col min="5895" max="5895" width="15.28515625" style="301" bestFit="1" customWidth="1"/>
    <col min="5896" max="5896" width="16.5703125" style="301" customWidth="1"/>
    <col min="5897" max="5897" width="11.85546875" style="301" customWidth="1"/>
    <col min="5898" max="5898" width="10.42578125" style="301" bestFit="1" customWidth="1"/>
    <col min="5899" max="5899" width="5.7109375" style="301" customWidth="1"/>
    <col min="5900" max="6136" width="15.42578125" style="301"/>
    <col min="6137" max="6137" width="10.7109375" style="301" customWidth="1"/>
    <col min="6138" max="6138" width="32.5703125" style="301" customWidth="1"/>
    <col min="6139" max="6139" width="4.42578125" style="301" bestFit="1" customWidth="1"/>
    <col min="6140" max="6140" width="6.5703125" style="301" customWidth="1"/>
    <col min="6141" max="6141" width="9.7109375" style="301" customWidth="1"/>
    <col min="6142" max="6142" width="10.7109375" style="301" customWidth="1"/>
    <col min="6143" max="6143" width="7.7109375" style="301" customWidth="1"/>
    <col min="6144" max="6144" width="9.7109375" style="301" customWidth="1"/>
    <col min="6145" max="6145" width="10.7109375" style="301" customWidth="1"/>
    <col min="6146" max="6146" width="7.7109375" style="301" customWidth="1"/>
    <col min="6147" max="6147" width="9.7109375" style="301" customWidth="1"/>
    <col min="6148" max="6148" width="10.7109375" style="301" customWidth="1"/>
    <col min="6149" max="6149" width="7.7109375" style="301" customWidth="1"/>
    <col min="6150" max="6150" width="13" style="301" customWidth="1"/>
    <col min="6151" max="6151" width="15.28515625" style="301" bestFit="1" customWidth="1"/>
    <col min="6152" max="6152" width="16.5703125" style="301" customWidth="1"/>
    <col min="6153" max="6153" width="11.85546875" style="301" customWidth="1"/>
    <col min="6154" max="6154" width="10.42578125" style="301" bestFit="1" customWidth="1"/>
    <col min="6155" max="6155" width="5.7109375" style="301" customWidth="1"/>
    <col min="6156" max="6392" width="15.42578125" style="301"/>
    <col min="6393" max="6393" width="10.7109375" style="301" customWidth="1"/>
    <col min="6394" max="6394" width="32.5703125" style="301" customWidth="1"/>
    <col min="6395" max="6395" width="4.42578125" style="301" bestFit="1" customWidth="1"/>
    <col min="6396" max="6396" width="6.5703125" style="301" customWidth="1"/>
    <col min="6397" max="6397" width="9.7109375" style="301" customWidth="1"/>
    <col min="6398" max="6398" width="10.7109375" style="301" customWidth="1"/>
    <col min="6399" max="6399" width="7.7109375" style="301" customWidth="1"/>
    <col min="6400" max="6400" width="9.7109375" style="301" customWidth="1"/>
    <col min="6401" max="6401" width="10.7109375" style="301" customWidth="1"/>
    <col min="6402" max="6402" width="7.7109375" style="301" customWidth="1"/>
    <col min="6403" max="6403" width="9.7109375" style="301" customWidth="1"/>
    <col min="6404" max="6404" width="10.7109375" style="301" customWidth="1"/>
    <col min="6405" max="6405" width="7.7109375" style="301" customWidth="1"/>
    <col min="6406" max="6406" width="13" style="301" customWidth="1"/>
    <col min="6407" max="6407" width="15.28515625" style="301" bestFit="1" customWidth="1"/>
    <col min="6408" max="6408" width="16.5703125" style="301" customWidth="1"/>
    <col min="6409" max="6409" width="11.85546875" style="301" customWidth="1"/>
    <col min="6410" max="6410" width="10.42578125" style="301" bestFit="1" customWidth="1"/>
    <col min="6411" max="6411" width="5.7109375" style="301" customWidth="1"/>
    <col min="6412" max="6648" width="15.42578125" style="301"/>
    <col min="6649" max="6649" width="10.7109375" style="301" customWidth="1"/>
    <col min="6650" max="6650" width="32.5703125" style="301" customWidth="1"/>
    <col min="6651" max="6651" width="4.42578125" style="301" bestFit="1" customWidth="1"/>
    <col min="6652" max="6652" width="6.5703125" style="301" customWidth="1"/>
    <col min="6653" max="6653" width="9.7109375" style="301" customWidth="1"/>
    <col min="6654" max="6654" width="10.7109375" style="301" customWidth="1"/>
    <col min="6655" max="6655" width="7.7109375" style="301" customWidth="1"/>
    <col min="6656" max="6656" width="9.7109375" style="301" customWidth="1"/>
    <col min="6657" max="6657" width="10.7109375" style="301" customWidth="1"/>
    <col min="6658" max="6658" width="7.7109375" style="301" customWidth="1"/>
    <col min="6659" max="6659" width="9.7109375" style="301" customWidth="1"/>
    <col min="6660" max="6660" width="10.7109375" style="301" customWidth="1"/>
    <col min="6661" max="6661" width="7.7109375" style="301" customWidth="1"/>
    <col min="6662" max="6662" width="13" style="301" customWidth="1"/>
    <col min="6663" max="6663" width="15.28515625" style="301" bestFit="1" customWidth="1"/>
    <col min="6664" max="6664" width="16.5703125" style="301" customWidth="1"/>
    <col min="6665" max="6665" width="11.85546875" style="301" customWidth="1"/>
    <col min="6666" max="6666" width="10.42578125" style="301" bestFit="1" customWidth="1"/>
    <col min="6667" max="6667" width="5.7109375" style="301" customWidth="1"/>
    <col min="6668" max="6904" width="15.42578125" style="301"/>
    <col min="6905" max="6905" width="10.7109375" style="301" customWidth="1"/>
    <col min="6906" max="6906" width="32.5703125" style="301" customWidth="1"/>
    <col min="6907" max="6907" width="4.42578125" style="301" bestFit="1" customWidth="1"/>
    <col min="6908" max="6908" width="6.5703125" style="301" customWidth="1"/>
    <col min="6909" max="6909" width="9.7109375" style="301" customWidth="1"/>
    <col min="6910" max="6910" width="10.7109375" style="301" customWidth="1"/>
    <col min="6911" max="6911" width="7.7109375" style="301" customWidth="1"/>
    <col min="6912" max="6912" width="9.7109375" style="301" customWidth="1"/>
    <col min="6913" max="6913" width="10.7109375" style="301" customWidth="1"/>
    <col min="6914" max="6914" width="7.7109375" style="301" customWidth="1"/>
    <col min="6915" max="6915" width="9.7109375" style="301" customWidth="1"/>
    <col min="6916" max="6916" width="10.7109375" style="301" customWidth="1"/>
    <col min="6917" max="6917" width="7.7109375" style="301" customWidth="1"/>
    <col min="6918" max="6918" width="13" style="301" customWidth="1"/>
    <col min="6919" max="6919" width="15.28515625" style="301" bestFit="1" customWidth="1"/>
    <col min="6920" max="6920" width="16.5703125" style="301" customWidth="1"/>
    <col min="6921" max="6921" width="11.85546875" style="301" customWidth="1"/>
    <col min="6922" max="6922" width="10.42578125" style="301" bestFit="1" customWidth="1"/>
    <col min="6923" max="6923" width="5.7109375" style="301" customWidth="1"/>
    <col min="6924" max="7160" width="15.42578125" style="301"/>
    <col min="7161" max="7161" width="10.7109375" style="301" customWidth="1"/>
    <col min="7162" max="7162" width="32.5703125" style="301" customWidth="1"/>
    <col min="7163" max="7163" width="4.42578125" style="301" bestFit="1" customWidth="1"/>
    <col min="7164" max="7164" width="6.5703125" style="301" customWidth="1"/>
    <col min="7165" max="7165" width="9.7109375" style="301" customWidth="1"/>
    <col min="7166" max="7166" width="10.7109375" style="301" customWidth="1"/>
    <col min="7167" max="7167" width="7.7109375" style="301" customWidth="1"/>
    <col min="7168" max="7168" width="9.7109375" style="301" customWidth="1"/>
    <col min="7169" max="7169" width="10.7109375" style="301" customWidth="1"/>
    <col min="7170" max="7170" width="7.7109375" style="301" customWidth="1"/>
    <col min="7171" max="7171" width="9.7109375" style="301" customWidth="1"/>
    <col min="7172" max="7172" width="10.7109375" style="301" customWidth="1"/>
    <col min="7173" max="7173" width="7.7109375" style="301" customWidth="1"/>
    <col min="7174" max="7174" width="13" style="301" customWidth="1"/>
    <col min="7175" max="7175" width="15.28515625" style="301" bestFit="1" customWidth="1"/>
    <col min="7176" max="7176" width="16.5703125" style="301" customWidth="1"/>
    <col min="7177" max="7177" width="11.85546875" style="301" customWidth="1"/>
    <col min="7178" max="7178" width="10.42578125" style="301" bestFit="1" customWidth="1"/>
    <col min="7179" max="7179" width="5.7109375" style="301" customWidth="1"/>
    <col min="7180" max="7416" width="15.42578125" style="301"/>
    <col min="7417" max="7417" width="10.7109375" style="301" customWidth="1"/>
    <col min="7418" max="7418" width="32.5703125" style="301" customWidth="1"/>
    <col min="7419" max="7419" width="4.42578125" style="301" bestFit="1" customWidth="1"/>
    <col min="7420" max="7420" width="6.5703125" style="301" customWidth="1"/>
    <col min="7421" max="7421" width="9.7109375" style="301" customWidth="1"/>
    <col min="7422" max="7422" width="10.7109375" style="301" customWidth="1"/>
    <col min="7423" max="7423" width="7.7109375" style="301" customWidth="1"/>
    <col min="7424" max="7424" width="9.7109375" style="301" customWidth="1"/>
    <col min="7425" max="7425" width="10.7109375" style="301" customWidth="1"/>
    <col min="7426" max="7426" width="7.7109375" style="301" customWidth="1"/>
    <col min="7427" max="7427" width="9.7109375" style="301" customWidth="1"/>
    <col min="7428" max="7428" width="10.7109375" style="301" customWidth="1"/>
    <col min="7429" max="7429" width="7.7109375" style="301" customWidth="1"/>
    <col min="7430" max="7430" width="13" style="301" customWidth="1"/>
    <col min="7431" max="7431" width="15.28515625" style="301" bestFit="1" customWidth="1"/>
    <col min="7432" max="7432" width="16.5703125" style="301" customWidth="1"/>
    <col min="7433" max="7433" width="11.85546875" style="301" customWidth="1"/>
    <col min="7434" max="7434" width="10.42578125" style="301" bestFit="1" customWidth="1"/>
    <col min="7435" max="7435" width="5.7109375" style="301" customWidth="1"/>
    <col min="7436" max="7672" width="15.42578125" style="301"/>
    <col min="7673" max="7673" width="10.7109375" style="301" customWidth="1"/>
    <col min="7674" max="7674" width="32.5703125" style="301" customWidth="1"/>
    <col min="7675" max="7675" width="4.42578125" style="301" bestFit="1" customWidth="1"/>
    <col min="7676" max="7676" width="6.5703125" style="301" customWidth="1"/>
    <col min="7677" max="7677" width="9.7109375" style="301" customWidth="1"/>
    <col min="7678" max="7678" width="10.7109375" style="301" customWidth="1"/>
    <col min="7679" max="7679" width="7.7109375" style="301" customWidth="1"/>
    <col min="7680" max="7680" width="9.7109375" style="301" customWidth="1"/>
    <col min="7681" max="7681" width="10.7109375" style="301" customWidth="1"/>
    <col min="7682" max="7682" width="7.7109375" style="301" customWidth="1"/>
    <col min="7683" max="7683" width="9.7109375" style="301" customWidth="1"/>
    <col min="7684" max="7684" width="10.7109375" style="301" customWidth="1"/>
    <col min="7685" max="7685" width="7.7109375" style="301" customWidth="1"/>
    <col min="7686" max="7686" width="13" style="301" customWidth="1"/>
    <col min="7687" max="7687" width="15.28515625" style="301" bestFit="1" customWidth="1"/>
    <col min="7688" max="7688" width="16.5703125" style="301" customWidth="1"/>
    <col min="7689" max="7689" width="11.85546875" style="301" customWidth="1"/>
    <col min="7690" max="7690" width="10.42578125" style="301" bestFit="1" customWidth="1"/>
    <col min="7691" max="7691" width="5.7109375" style="301" customWidth="1"/>
    <col min="7692" max="7928" width="15.42578125" style="301"/>
    <col min="7929" max="7929" width="10.7109375" style="301" customWidth="1"/>
    <col min="7930" max="7930" width="32.5703125" style="301" customWidth="1"/>
    <col min="7931" max="7931" width="4.42578125" style="301" bestFit="1" customWidth="1"/>
    <col min="7932" max="7932" width="6.5703125" style="301" customWidth="1"/>
    <col min="7933" max="7933" width="9.7109375" style="301" customWidth="1"/>
    <col min="7934" max="7934" width="10.7109375" style="301" customWidth="1"/>
    <col min="7935" max="7935" width="7.7109375" style="301" customWidth="1"/>
    <col min="7936" max="7936" width="9.7109375" style="301" customWidth="1"/>
    <col min="7937" max="7937" width="10.7109375" style="301" customWidth="1"/>
    <col min="7938" max="7938" width="7.7109375" style="301" customWidth="1"/>
    <col min="7939" max="7939" width="9.7109375" style="301" customWidth="1"/>
    <col min="7940" max="7940" width="10.7109375" style="301" customWidth="1"/>
    <col min="7941" max="7941" width="7.7109375" style="301" customWidth="1"/>
    <col min="7942" max="7942" width="13" style="301" customWidth="1"/>
    <col min="7943" max="7943" width="15.28515625" style="301" bestFit="1" customWidth="1"/>
    <col min="7944" max="7944" width="16.5703125" style="301" customWidth="1"/>
    <col min="7945" max="7945" width="11.85546875" style="301" customWidth="1"/>
    <col min="7946" max="7946" width="10.42578125" style="301" bestFit="1" customWidth="1"/>
    <col min="7947" max="7947" width="5.7109375" style="301" customWidth="1"/>
    <col min="7948" max="8184" width="15.42578125" style="301"/>
    <col min="8185" max="8185" width="10.7109375" style="301" customWidth="1"/>
    <col min="8186" max="8186" width="32.5703125" style="301" customWidth="1"/>
    <col min="8187" max="8187" width="4.42578125" style="301" bestFit="1" customWidth="1"/>
    <col min="8188" max="8188" width="6.5703125" style="301" customWidth="1"/>
    <col min="8189" max="8189" width="9.7109375" style="301" customWidth="1"/>
    <col min="8190" max="8190" width="10.7109375" style="301" customWidth="1"/>
    <col min="8191" max="8191" width="7.7109375" style="301" customWidth="1"/>
    <col min="8192" max="8192" width="9.7109375" style="301" customWidth="1"/>
    <col min="8193" max="8193" width="10.7109375" style="301" customWidth="1"/>
    <col min="8194" max="8194" width="7.7109375" style="301" customWidth="1"/>
    <col min="8195" max="8195" width="9.7109375" style="301" customWidth="1"/>
    <col min="8196" max="8196" width="10.7109375" style="301" customWidth="1"/>
    <col min="8197" max="8197" width="7.7109375" style="301" customWidth="1"/>
    <col min="8198" max="8198" width="13" style="301" customWidth="1"/>
    <col min="8199" max="8199" width="15.28515625" style="301" bestFit="1" customWidth="1"/>
    <col min="8200" max="8200" width="16.5703125" style="301" customWidth="1"/>
    <col min="8201" max="8201" width="11.85546875" style="301" customWidth="1"/>
    <col min="8202" max="8202" width="10.42578125" style="301" bestFit="1" customWidth="1"/>
    <col min="8203" max="8203" width="5.7109375" style="301" customWidth="1"/>
    <col min="8204" max="8440" width="15.42578125" style="301"/>
    <col min="8441" max="8441" width="10.7109375" style="301" customWidth="1"/>
    <col min="8442" max="8442" width="32.5703125" style="301" customWidth="1"/>
    <col min="8443" max="8443" width="4.42578125" style="301" bestFit="1" customWidth="1"/>
    <col min="8444" max="8444" width="6.5703125" style="301" customWidth="1"/>
    <col min="8445" max="8445" width="9.7109375" style="301" customWidth="1"/>
    <col min="8446" max="8446" width="10.7109375" style="301" customWidth="1"/>
    <col min="8447" max="8447" width="7.7109375" style="301" customWidth="1"/>
    <col min="8448" max="8448" width="9.7109375" style="301" customWidth="1"/>
    <col min="8449" max="8449" width="10.7109375" style="301" customWidth="1"/>
    <col min="8450" max="8450" width="7.7109375" style="301" customWidth="1"/>
    <col min="8451" max="8451" width="9.7109375" style="301" customWidth="1"/>
    <col min="8452" max="8452" width="10.7109375" style="301" customWidth="1"/>
    <col min="8453" max="8453" width="7.7109375" style="301" customWidth="1"/>
    <col min="8454" max="8454" width="13" style="301" customWidth="1"/>
    <col min="8455" max="8455" width="15.28515625" style="301" bestFit="1" customWidth="1"/>
    <col min="8456" max="8456" width="16.5703125" style="301" customWidth="1"/>
    <col min="8457" max="8457" width="11.85546875" style="301" customWidth="1"/>
    <col min="8458" max="8458" width="10.42578125" style="301" bestFit="1" customWidth="1"/>
    <col min="8459" max="8459" width="5.7109375" style="301" customWidth="1"/>
    <col min="8460" max="8696" width="15.42578125" style="301"/>
    <col min="8697" max="8697" width="10.7109375" style="301" customWidth="1"/>
    <col min="8698" max="8698" width="32.5703125" style="301" customWidth="1"/>
    <col min="8699" max="8699" width="4.42578125" style="301" bestFit="1" customWidth="1"/>
    <col min="8700" max="8700" width="6.5703125" style="301" customWidth="1"/>
    <col min="8701" max="8701" width="9.7109375" style="301" customWidth="1"/>
    <col min="8702" max="8702" width="10.7109375" style="301" customWidth="1"/>
    <col min="8703" max="8703" width="7.7109375" style="301" customWidth="1"/>
    <col min="8704" max="8704" width="9.7109375" style="301" customWidth="1"/>
    <col min="8705" max="8705" width="10.7109375" style="301" customWidth="1"/>
    <col min="8706" max="8706" width="7.7109375" style="301" customWidth="1"/>
    <col min="8707" max="8707" width="9.7109375" style="301" customWidth="1"/>
    <col min="8708" max="8708" width="10.7109375" style="301" customWidth="1"/>
    <col min="8709" max="8709" width="7.7109375" style="301" customWidth="1"/>
    <col min="8710" max="8710" width="13" style="301" customWidth="1"/>
    <col min="8711" max="8711" width="15.28515625" style="301" bestFit="1" customWidth="1"/>
    <col min="8712" max="8712" width="16.5703125" style="301" customWidth="1"/>
    <col min="8713" max="8713" width="11.85546875" style="301" customWidth="1"/>
    <col min="8714" max="8714" width="10.42578125" style="301" bestFit="1" customWidth="1"/>
    <col min="8715" max="8715" width="5.7109375" style="301" customWidth="1"/>
    <col min="8716" max="8952" width="15.42578125" style="301"/>
    <col min="8953" max="8953" width="10.7109375" style="301" customWidth="1"/>
    <col min="8954" max="8954" width="32.5703125" style="301" customWidth="1"/>
    <col min="8955" max="8955" width="4.42578125" style="301" bestFit="1" customWidth="1"/>
    <col min="8956" max="8956" width="6.5703125" style="301" customWidth="1"/>
    <col min="8957" max="8957" width="9.7109375" style="301" customWidth="1"/>
    <col min="8958" max="8958" width="10.7109375" style="301" customWidth="1"/>
    <col min="8959" max="8959" width="7.7109375" style="301" customWidth="1"/>
    <col min="8960" max="8960" width="9.7109375" style="301" customWidth="1"/>
    <col min="8961" max="8961" width="10.7109375" style="301" customWidth="1"/>
    <col min="8962" max="8962" width="7.7109375" style="301" customWidth="1"/>
    <col min="8963" max="8963" width="9.7109375" style="301" customWidth="1"/>
    <col min="8964" max="8964" width="10.7109375" style="301" customWidth="1"/>
    <col min="8965" max="8965" width="7.7109375" style="301" customWidth="1"/>
    <col min="8966" max="8966" width="13" style="301" customWidth="1"/>
    <col min="8967" max="8967" width="15.28515625" style="301" bestFit="1" customWidth="1"/>
    <col min="8968" max="8968" width="16.5703125" style="301" customWidth="1"/>
    <col min="8969" max="8969" width="11.85546875" style="301" customWidth="1"/>
    <col min="8970" max="8970" width="10.42578125" style="301" bestFit="1" customWidth="1"/>
    <col min="8971" max="8971" width="5.7109375" style="301" customWidth="1"/>
    <col min="8972" max="9208" width="15.42578125" style="301"/>
    <col min="9209" max="9209" width="10.7109375" style="301" customWidth="1"/>
    <col min="9210" max="9210" width="32.5703125" style="301" customWidth="1"/>
    <col min="9211" max="9211" width="4.42578125" style="301" bestFit="1" customWidth="1"/>
    <col min="9212" max="9212" width="6.5703125" style="301" customWidth="1"/>
    <col min="9213" max="9213" width="9.7109375" style="301" customWidth="1"/>
    <col min="9214" max="9214" width="10.7109375" style="301" customWidth="1"/>
    <col min="9215" max="9215" width="7.7109375" style="301" customWidth="1"/>
    <col min="9216" max="9216" width="9.7109375" style="301" customWidth="1"/>
    <col min="9217" max="9217" width="10.7109375" style="301" customWidth="1"/>
    <col min="9218" max="9218" width="7.7109375" style="301" customWidth="1"/>
    <col min="9219" max="9219" width="9.7109375" style="301" customWidth="1"/>
    <col min="9220" max="9220" width="10.7109375" style="301" customWidth="1"/>
    <col min="9221" max="9221" width="7.7109375" style="301" customWidth="1"/>
    <col min="9222" max="9222" width="13" style="301" customWidth="1"/>
    <col min="9223" max="9223" width="15.28515625" style="301" bestFit="1" customWidth="1"/>
    <col min="9224" max="9224" width="16.5703125" style="301" customWidth="1"/>
    <col min="9225" max="9225" width="11.85546875" style="301" customWidth="1"/>
    <col min="9226" max="9226" width="10.42578125" style="301" bestFit="1" customWidth="1"/>
    <col min="9227" max="9227" width="5.7109375" style="301" customWidth="1"/>
    <col min="9228" max="9464" width="15.42578125" style="301"/>
    <col min="9465" max="9465" width="10.7109375" style="301" customWidth="1"/>
    <col min="9466" max="9466" width="32.5703125" style="301" customWidth="1"/>
    <col min="9467" max="9467" width="4.42578125" style="301" bestFit="1" customWidth="1"/>
    <col min="9468" max="9468" width="6.5703125" style="301" customWidth="1"/>
    <col min="9469" max="9469" width="9.7109375" style="301" customWidth="1"/>
    <col min="9470" max="9470" width="10.7109375" style="301" customWidth="1"/>
    <col min="9471" max="9471" width="7.7109375" style="301" customWidth="1"/>
    <col min="9472" max="9472" width="9.7109375" style="301" customWidth="1"/>
    <col min="9473" max="9473" width="10.7109375" style="301" customWidth="1"/>
    <col min="9474" max="9474" width="7.7109375" style="301" customWidth="1"/>
    <col min="9475" max="9475" width="9.7109375" style="301" customWidth="1"/>
    <col min="9476" max="9476" width="10.7109375" style="301" customWidth="1"/>
    <col min="9477" max="9477" width="7.7109375" style="301" customWidth="1"/>
    <col min="9478" max="9478" width="13" style="301" customWidth="1"/>
    <col min="9479" max="9479" width="15.28515625" style="301" bestFit="1" customWidth="1"/>
    <col min="9480" max="9480" width="16.5703125" style="301" customWidth="1"/>
    <col min="9481" max="9481" width="11.85546875" style="301" customWidth="1"/>
    <col min="9482" max="9482" width="10.42578125" style="301" bestFit="1" customWidth="1"/>
    <col min="9483" max="9483" width="5.7109375" style="301" customWidth="1"/>
    <col min="9484" max="9720" width="15.42578125" style="301"/>
    <col min="9721" max="9721" width="10.7109375" style="301" customWidth="1"/>
    <col min="9722" max="9722" width="32.5703125" style="301" customWidth="1"/>
    <col min="9723" max="9723" width="4.42578125" style="301" bestFit="1" customWidth="1"/>
    <col min="9724" max="9724" width="6.5703125" style="301" customWidth="1"/>
    <col min="9725" max="9725" width="9.7109375" style="301" customWidth="1"/>
    <col min="9726" max="9726" width="10.7109375" style="301" customWidth="1"/>
    <col min="9727" max="9727" width="7.7109375" style="301" customWidth="1"/>
    <col min="9728" max="9728" width="9.7109375" style="301" customWidth="1"/>
    <col min="9729" max="9729" width="10.7109375" style="301" customWidth="1"/>
    <col min="9730" max="9730" width="7.7109375" style="301" customWidth="1"/>
    <col min="9731" max="9731" width="9.7109375" style="301" customWidth="1"/>
    <col min="9732" max="9732" width="10.7109375" style="301" customWidth="1"/>
    <col min="9733" max="9733" width="7.7109375" style="301" customWidth="1"/>
    <col min="9734" max="9734" width="13" style="301" customWidth="1"/>
    <col min="9735" max="9735" width="15.28515625" style="301" bestFit="1" customWidth="1"/>
    <col min="9736" max="9736" width="16.5703125" style="301" customWidth="1"/>
    <col min="9737" max="9737" width="11.85546875" style="301" customWidth="1"/>
    <col min="9738" max="9738" width="10.42578125" style="301" bestFit="1" customWidth="1"/>
    <col min="9739" max="9739" width="5.7109375" style="301" customWidth="1"/>
    <col min="9740" max="9976" width="15.42578125" style="301"/>
    <col min="9977" max="9977" width="10.7109375" style="301" customWidth="1"/>
    <col min="9978" max="9978" width="32.5703125" style="301" customWidth="1"/>
    <col min="9979" max="9979" width="4.42578125" style="301" bestFit="1" customWidth="1"/>
    <col min="9980" max="9980" width="6.5703125" style="301" customWidth="1"/>
    <col min="9981" max="9981" width="9.7109375" style="301" customWidth="1"/>
    <col min="9982" max="9982" width="10.7109375" style="301" customWidth="1"/>
    <col min="9983" max="9983" width="7.7109375" style="301" customWidth="1"/>
    <col min="9984" max="9984" width="9.7109375" style="301" customWidth="1"/>
    <col min="9985" max="9985" width="10.7109375" style="301" customWidth="1"/>
    <col min="9986" max="9986" width="7.7109375" style="301" customWidth="1"/>
    <col min="9987" max="9987" width="9.7109375" style="301" customWidth="1"/>
    <col min="9988" max="9988" width="10.7109375" style="301" customWidth="1"/>
    <col min="9989" max="9989" width="7.7109375" style="301" customWidth="1"/>
    <col min="9990" max="9990" width="13" style="301" customWidth="1"/>
    <col min="9991" max="9991" width="15.28515625" style="301" bestFit="1" customWidth="1"/>
    <col min="9992" max="9992" width="16.5703125" style="301" customWidth="1"/>
    <col min="9993" max="9993" width="11.85546875" style="301" customWidth="1"/>
    <col min="9994" max="9994" width="10.42578125" style="301" bestFit="1" customWidth="1"/>
    <col min="9995" max="9995" width="5.7109375" style="301" customWidth="1"/>
    <col min="9996" max="10232" width="15.42578125" style="301"/>
    <col min="10233" max="10233" width="10.7109375" style="301" customWidth="1"/>
    <col min="10234" max="10234" width="32.5703125" style="301" customWidth="1"/>
    <col min="10235" max="10235" width="4.42578125" style="301" bestFit="1" customWidth="1"/>
    <col min="10236" max="10236" width="6.5703125" style="301" customWidth="1"/>
    <col min="10237" max="10237" width="9.7109375" style="301" customWidth="1"/>
    <col min="10238" max="10238" width="10.7109375" style="301" customWidth="1"/>
    <col min="10239" max="10239" width="7.7109375" style="301" customWidth="1"/>
    <col min="10240" max="10240" width="9.7109375" style="301" customWidth="1"/>
    <col min="10241" max="10241" width="10.7109375" style="301" customWidth="1"/>
    <col min="10242" max="10242" width="7.7109375" style="301" customWidth="1"/>
    <col min="10243" max="10243" width="9.7109375" style="301" customWidth="1"/>
    <col min="10244" max="10244" width="10.7109375" style="301" customWidth="1"/>
    <col min="10245" max="10245" width="7.7109375" style="301" customWidth="1"/>
    <col min="10246" max="10246" width="13" style="301" customWidth="1"/>
    <col min="10247" max="10247" width="15.28515625" style="301" bestFit="1" customWidth="1"/>
    <col min="10248" max="10248" width="16.5703125" style="301" customWidth="1"/>
    <col min="10249" max="10249" width="11.85546875" style="301" customWidth="1"/>
    <col min="10250" max="10250" width="10.42578125" style="301" bestFit="1" customWidth="1"/>
    <col min="10251" max="10251" width="5.7109375" style="301" customWidth="1"/>
    <col min="10252" max="10488" width="15.42578125" style="301"/>
    <col min="10489" max="10489" width="10.7109375" style="301" customWidth="1"/>
    <col min="10490" max="10490" width="32.5703125" style="301" customWidth="1"/>
    <col min="10491" max="10491" width="4.42578125" style="301" bestFit="1" customWidth="1"/>
    <col min="10492" max="10492" width="6.5703125" style="301" customWidth="1"/>
    <col min="10493" max="10493" width="9.7109375" style="301" customWidth="1"/>
    <col min="10494" max="10494" width="10.7109375" style="301" customWidth="1"/>
    <col min="10495" max="10495" width="7.7109375" style="301" customWidth="1"/>
    <col min="10496" max="10496" width="9.7109375" style="301" customWidth="1"/>
    <col min="10497" max="10497" width="10.7109375" style="301" customWidth="1"/>
    <col min="10498" max="10498" width="7.7109375" style="301" customWidth="1"/>
    <col min="10499" max="10499" width="9.7109375" style="301" customWidth="1"/>
    <col min="10500" max="10500" width="10.7109375" style="301" customWidth="1"/>
    <col min="10501" max="10501" width="7.7109375" style="301" customWidth="1"/>
    <col min="10502" max="10502" width="13" style="301" customWidth="1"/>
    <col min="10503" max="10503" width="15.28515625" style="301" bestFit="1" customWidth="1"/>
    <col min="10504" max="10504" width="16.5703125" style="301" customWidth="1"/>
    <col min="10505" max="10505" width="11.85546875" style="301" customWidth="1"/>
    <col min="10506" max="10506" width="10.42578125" style="301" bestFit="1" customWidth="1"/>
    <col min="10507" max="10507" width="5.7109375" style="301" customWidth="1"/>
    <col min="10508" max="10744" width="15.42578125" style="301"/>
    <col min="10745" max="10745" width="10.7109375" style="301" customWidth="1"/>
    <col min="10746" max="10746" width="32.5703125" style="301" customWidth="1"/>
    <col min="10747" max="10747" width="4.42578125" style="301" bestFit="1" customWidth="1"/>
    <col min="10748" max="10748" width="6.5703125" style="301" customWidth="1"/>
    <col min="10749" max="10749" width="9.7109375" style="301" customWidth="1"/>
    <col min="10750" max="10750" width="10.7109375" style="301" customWidth="1"/>
    <col min="10751" max="10751" width="7.7109375" style="301" customWidth="1"/>
    <col min="10752" max="10752" width="9.7109375" style="301" customWidth="1"/>
    <col min="10753" max="10753" width="10.7109375" style="301" customWidth="1"/>
    <col min="10754" max="10754" width="7.7109375" style="301" customWidth="1"/>
    <col min="10755" max="10755" width="9.7109375" style="301" customWidth="1"/>
    <col min="10756" max="10756" width="10.7109375" style="301" customWidth="1"/>
    <col min="10757" max="10757" width="7.7109375" style="301" customWidth="1"/>
    <col min="10758" max="10758" width="13" style="301" customWidth="1"/>
    <col min="10759" max="10759" width="15.28515625" style="301" bestFit="1" customWidth="1"/>
    <col min="10760" max="10760" width="16.5703125" style="301" customWidth="1"/>
    <col min="10761" max="10761" width="11.85546875" style="301" customWidth="1"/>
    <col min="10762" max="10762" width="10.42578125" style="301" bestFit="1" customWidth="1"/>
    <col min="10763" max="10763" width="5.7109375" style="301" customWidth="1"/>
    <col min="10764" max="11000" width="15.42578125" style="301"/>
    <col min="11001" max="11001" width="10.7109375" style="301" customWidth="1"/>
    <col min="11002" max="11002" width="32.5703125" style="301" customWidth="1"/>
    <col min="11003" max="11003" width="4.42578125" style="301" bestFit="1" customWidth="1"/>
    <col min="11004" max="11004" width="6.5703125" style="301" customWidth="1"/>
    <col min="11005" max="11005" width="9.7109375" style="301" customWidth="1"/>
    <col min="11006" max="11006" width="10.7109375" style="301" customWidth="1"/>
    <col min="11007" max="11007" width="7.7109375" style="301" customWidth="1"/>
    <col min="11008" max="11008" width="9.7109375" style="301" customWidth="1"/>
    <col min="11009" max="11009" width="10.7109375" style="301" customWidth="1"/>
    <col min="11010" max="11010" width="7.7109375" style="301" customWidth="1"/>
    <col min="11011" max="11011" width="9.7109375" style="301" customWidth="1"/>
    <col min="11012" max="11012" width="10.7109375" style="301" customWidth="1"/>
    <col min="11013" max="11013" width="7.7109375" style="301" customWidth="1"/>
    <col min="11014" max="11014" width="13" style="301" customWidth="1"/>
    <col min="11015" max="11015" width="15.28515625" style="301" bestFit="1" customWidth="1"/>
    <col min="11016" max="11016" width="16.5703125" style="301" customWidth="1"/>
    <col min="11017" max="11017" width="11.85546875" style="301" customWidth="1"/>
    <col min="11018" max="11018" width="10.42578125" style="301" bestFit="1" customWidth="1"/>
    <col min="11019" max="11019" width="5.7109375" style="301" customWidth="1"/>
    <col min="11020" max="11256" width="15.42578125" style="301"/>
    <col min="11257" max="11257" width="10.7109375" style="301" customWidth="1"/>
    <col min="11258" max="11258" width="32.5703125" style="301" customWidth="1"/>
    <col min="11259" max="11259" width="4.42578125" style="301" bestFit="1" customWidth="1"/>
    <col min="11260" max="11260" width="6.5703125" style="301" customWidth="1"/>
    <col min="11261" max="11261" width="9.7109375" style="301" customWidth="1"/>
    <col min="11262" max="11262" width="10.7109375" style="301" customWidth="1"/>
    <col min="11263" max="11263" width="7.7109375" style="301" customWidth="1"/>
    <col min="11264" max="11264" width="9.7109375" style="301" customWidth="1"/>
    <col min="11265" max="11265" width="10.7109375" style="301" customWidth="1"/>
    <col min="11266" max="11266" width="7.7109375" style="301" customWidth="1"/>
    <col min="11267" max="11267" width="9.7109375" style="301" customWidth="1"/>
    <col min="11268" max="11268" width="10.7109375" style="301" customWidth="1"/>
    <col min="11269" max="11269" width="7.7109375" style="301" customWidth="1"/>
    <col min="11270" max="11270" width="13" style="301" customWidth="1"/>
    <col min="11271" max="11271" width="15.28515625" style="301" bestFit="1" customWidth="1"/>
    <col min="11272" max="11272" width="16.5703125" style="301" customWidth="1"/>
    <col min="11273" max="11273" width="11.85546875" style="301" customWidth="1"/>
    <col min="11274" max="11274" width="10.42578125" style="301" bestFit="1" customWidth="1"/>
    <col min="11275" max="11275" width="5.7109375" style="301" customWidth="1"/>
    <col min="11276" max="11512" width="15.42578125" style="301"/>
    <col min="11513" max="11513" width="10.7109375" style="301" customWidth="1"/>
    <col min="11514" max="11514" width="32.5703125" style="301" customWidth="1"/>
    <col min="11515" max="11515" width="4.42578125" style="301" bestFit="1" customWidth="1"/>
    <col min="11516" max="11516" width="6.5703125" style="301" customWidth="1"/>
    <col min="11517" max="11517" width="9.7109375" style="301" customWidth="1"/>
    <col min="11518" max="11518" width="10.7109375" style="301" customWidth="1"/>
    <col min="11519" max="11519" width="7.7109375" style="301" customWidth="1"/>
    <col min="11520" max="11520" width="9.7109375" style="301" customWidth="1"/>
    <col min="11521" max="11521" width="10.7109375" style="301" customWidth="1"/>
    <col min="11522" max="11522" width="7.7109375" style="301" customWidth="1"/>
    <col min="11523" max="11523" width="9.7109375" style="301" customWidth="1"/>
    <col min="11524" max="11524" width="10.7109375" style="301" customWidth="1"/>
    <col min="11525" max="11525" width="7.7109375" style="301" customWidth="1"/>
    <col min="11526" max="11526" width="13" style="301" customWidth="1"/>
    <col min="11527" max="11527" width="15.28515625" style="301" bestFit="1" customWidth="1"/>
    <col min="11528" max="11528" width="16.5703125" style="301" customWidth="1"/>
    <col min="11529" max="11529" width="11.85546875" style="301" customWidth="1"/>
    <col min="11530" max="11530" width="10.42578125" style="301" bestFit="1" customWidth="1"/>
    <col min="11531" max="11531" width="5.7109375" style="301" customWidth="1"/>
    <col min="11532" max="11768" width="15.42578125" style="301"/>
    <col min="11769" max="11769" width="10.7109375" style="301" customWidth="1"/>
    <col min="11770" max="11770" width="32.5703125" style="301" customWidth="1"/>
    <col min="11771" max="11771" width="4.42578125" style="301" bestFit="1" customWidth="1"/>
    <col min="11772" max="11772" width="6.5703125" style="301" customWidth="1"/>
    <col min="11773" max="11773" width="9.7109375" style="301" customWidth="1"/>
    <col min="11774" max="11774" width="10.7109375" style="301" customWidth="1"/>
    <col min="11775" max="11775" width="7.7109375" style="301" customWidth="1"/>
    <col min="11776" max="11776" width="9.7109375" style="301" customWidth="1"/>
    <col min="11777" max="11777" width="10.7109375" style="301" customWidth="1"/>
    <col min="11778" max="11778" width="7.7109375" style="301" customWidth="1"/>
    <col min="11779" max="11779" width="9.7109375" style="301" customWidth="1"/>
    <col min="11780" max="11780" width="10.7109375" style="301" customWidth="1"/>
    <col min="11781" max="11781" width="7.7109375" style="301" customWidth="1"/>
    <col min="11782" max="11782" width="13" style="301" customWidth="1"/>
    <col min="11783" max="11783" width="15.28515625" style="301" bestFit="1" customWidth="1"/>
    <col min="11784" max="11784" width="16.5703125" style="301" customWidth="1"/>
    <col min="11785" max="11785" width="11.85546875" style="301" customWidth="1"/>
    <col min="11786" max="11786" width="10.42578125" style="301" bestFit="1" customWidth="1"/>
    <col min="11787" max="11787" width="5.7109375" style="301" customWidth="1"/>
    <col min="11788" max="12024" width="15.42578125" style="301"/>
    <col min="12025" max="12025" width="10.7109375" style="301" customWidth="1"/>
    <col min="12026" max="12026" width="32.5703125" style="301" customWidth="1"/>
    <col min="12027" max="12027" width="4.42578125" style="301" bestFit="1" customWidth="1"/>
    <col min="12028" max="12028" width="6.5703125" style="301" customWidth="1"/>
    <col min="12029" max="12029" width="9.7109375" style="301" customWidth="1"/>
    <col min="12030" max="12030" width="10.7109375" style="301" customWidth="1"/>
    <col min="12031" max="12031" width="7.7109375" style="301" customWidth="1"/>
    <col min="12032" max="12032" width="9.7109375" style="301" customWidth="1"/>
    <col min="12033" max="12033" width="10.7109375" style="301" customWidth="1"/>
    <col min="12034" max="12034" width="7.7109375" style="301" customWidth="1"/>
    <col min="12035" max="12035" width="9.7109375" style="301" customWidth="1"/>
    <col min="12036" max="12036" width="10.7109375" style="301" customWidth="1"/>
    <col min="12037" max="12037" width="7.7109375" style="301" customWidth="1"/>
    <col min="12038" max="12038" width="13" style="301" customWidth="1"/>
    <col min="12039" max="12039" width="15.28515625" style="301" bestFit="1" customWidth="1"/>
    <col min="12040" max="12040" width="16.5703125" style="301" customWidth="1"/>
    <col min="12041" max="12041" width="11.85546875" style="301" customWidth="1"/>
    <col min="12042" max="12042" width="10.42578125" style="301" bestFit="1" customWidth="1"/>
    <col min="12043" max="12043" width="5.7109375" style="301" customWidth="1"/>
    <col min="12044" max="12280" width="15.42578125" style="301"/>
    <col min="12281" max="12281" width="10.7109375" style="301" customWidth="1"/>
    <col min="12282" max="12282" width="32.5703125" style="301" customWidth="1"/>
    <col min="12283" max="12283" width="4.42578125" style="301" bestFit="1" customWidth="1"/>
    <col min="12284" max="12284" width="6.5703125" style="301" customWidth="1"/>
    <col min="12285" max="12285" width="9.7109375" style="301" customWidth="1"/>
    <col min="12286" max="12286" width="10.7109375" style="301" customWidth="1"/>
    <col min="12287" max="12287" width="7.7109375" style="301" customWidth="1"/>
    <col min="12288" max="12288" width="9.7109375" style="301" customWidth="1"/>
    <col min="12289" max="12289" width="10.7109375" style="301" customWidth="1"/>
    <col min="12290" max="12290" width="7.7109375" style="301" customWidth="1"/>
    <col min="12291" max="12291" width="9.7109375" style="301" customWidth="1"/>
    <col min="12292" max="12292" width="10.7109375" style="301" customWidth="1"/>
    <col min="12293" max="12293" width="7.7109375" style="301" customWidth="1"/>
    <col min="12294" max="12294" width="13" style="301" customWidth="1"/>
    <col min="12295" max="12295" width="15.28515625" style="301" bestFit="1" customWidth="1"/>
    <col min="12296" max="12296" width="16.5703125" style="301" customWidth="1"/>
    <col min="12297" max="12297" width="11.85546875" style="301" customWidth="1"/>
    <col min="12298" max="12298" width="10.42578125" style="301" bestFit="1" customWidth="1"/>
    <col min="12299" max="12299" width="5.7109375" style="301" customWidth="1"/>
    <col min="12300" max="12536" width="15.42578125" style="301"/>
    <col min="12537" max="12537" width="10.7109375" style="301" customWidth="1"/>
    <col min="12538" max="12538" width="32.5703125" style="301" customWidth="1"/>
    <col min="12539" max="12539" width="4.42578125" style="301" bestFit="1" customWidth="1"/>
    <col min="12540" max="12540" width="6.5703125" style="301" customWidth="1"/>
    <col min="12541" max="12541" width="9.7109375" style="301" customWidth="1"/>
    <col min="12542" max="12542" width="10.7109375" style="301" customWidth="1"/>
    <col min="12543" max="12543" width="7.7109375" style="301" customWidth="1"/>
    <col min="12544" max="12544" width="9.7109375" style="301" customWidth="1"/>
    <col min="12545" max="12545" width="10.7109375" style="301" customWidth="1"/>
    <col min="12546" max="12546" width="7.7109375" style="301" customWidth="1"/>
    <col min="12547" max="12547" width="9.7109375" style="301" customWidth="1"/>
    <col min="12548" max="12548" width="10.7109375" style="301" customWidth="1"/>
    <col min="12549" max="12549" width="7.7109375" style="301" customWidth="1"/>
    <col min="12550" max="12550" width="13" style="301" customWidth="1"/>
    <col min="12551" max="12551" width="15.28515625" style="301" bestFit="1" customWidth="1"/>
    <col min="12552" max="12552" width="16.5703125" style="301" customWidth="1"/>
    <col min="12553" max="12553" width="11.85546875" style="301" customWidth="1"/>
    <col min="12554" max="12554" width="10.42578125" style="301" bestFit="1" customWidth="1"/>
    <col min="12555" max="12555" width="5.7109375" style="301" customWidth="1"/>
    <col min="12556" max="12792" width="15.42578125" style="301"/>
    <col min="12793" max="12793" width="10.7109375" style="301" customWidth="1"/>
    <col min="12794" max="12794" width="32.5703125" style="301" customWidth="1"/>
    <col min="12795" max="12795" width="4.42578125" style="301" bestFit="1" customWidth="1"/>
    <col min="12796" max="12796" width="6.5703125" style="301" customWidth="1"/>
    <col min="12797" max="12797" width="9.7109375" style="301" customWidth="1"/>
    <col min="12798" max="12798" width="10.7109375" style="301" customWidth="1"/>
    <col min="12799" max="12799" width="7.7109375" style="301" customWidth="1"/>
    <col min="12800" max="12800" width="9.7109375" style="301" customWidth="1"/>
    <col min="12801" max="12801" width="10.7109375" style="301" customWidth="1"/>
    <col min="12802" max="12802" width="7.7109375" style="301" customWidth="1"/>
    <col min="12803" max="12803" width="9.7109375" style="301" customWidth="1"/>
    <col min="12804" max="12804" width="10.7109375" style="301" customWidth="1"/>
    <col min="12805" max="12805" width="7.7109375" style="301" customWidth="1"/>
    <col min="12806" max="12806" width="13" style="301" customWidth="1"/>
    <col min="12807" max="12807" width="15.28515625" style="301" bestFit="1" customWidth="1"/>
    <col min="12808" max="12808" width="16.5703125" style="301" customWidth="1"/>
    <col min="12809" max="12809" width="11.85546875" style="301" customWidth="1"/>
    <col min="12810" max="12810" width="10.42578125" style="301" bestFit="1" customWidth="1"/>
    <col min="12811" max="12811" width="5.7109375" style="301" customWidth="1"/>
    <col min="12812" max="13048" width="15.42578125" style="301"/>
    <col min="13049" max="13049" width="10.7109375" style="301" customWidth="1"/>
    <col min="13050" max="13050" width="32.5703125" style="301" customWidth="1"/>
    <col min="13051" max="13051" width="4.42578125" style="301" bestFit="1" customWidth="1"/>
    <col min="13052" max="13052" width="6.5703125" style="301" customWidth="1"/>
    <col min="13053" max="13053" width="9.7109375" style="301" customWidth="1"/>
    <col min="13054" max="13054" width="10.7109375" style="301" customWidth="1"/>
    <col min="13055" max="13055" width="7.7109375" style="301" customWidth="1"/>
    <col min="13056" max="13056" width="9.7109375" style="301" customWidth="1"/>
    <col min="13057" max="13057" width="10.7109375" style="301" customWidth="1"/>
    <col min="13058" max="13058" width="7.7109375" style="301" customWidth="1"/>
    <col min="13059" max="13059" width="9.7109375" style="301" customWidth="1"/>
    <col min="13060" max="13060" width="10.7109375" style="301" customWidth="1"/>
    <col min="13061" max="13061" width="7.7109375" style="301" customWidth="1"/>
    <col min="13062" max="13062" width="13" style="301" customWidth="1"/>
    <col min="13063" max="13063" width="15.28515625" style="301" bestFit="1" customWidth="1"/>
    <col min="13064" max="13064" width="16.5703125" style="301" customWidth="1"/>
    <col min="13065" max="13065" width="11.85546875" style="301" customWidth="1"/>
    <col min="13066" max="13066" width="10.42578125" style="301" bestFit="1" customWidth="1"/>
    <col min="13067" max="13067" width="5.7109375" style="301" customWidth="1"/>
    <col min="13068" max="13304" width="15.42578125" style="301"/>
    <col min="13305" max="13305" width="10.7109375" style="301" customWidth="1"/>
    <col min="13306" max="13306" width="32.5703125" style="301" customWidth="1"/>
    <col min="13307" max="13307" width="4.42578125" style="301" bestFit="1" customWidth="1"/>
    <col min="13308" max="13308" width="6.5703125" style="301" customWidth="1"/>
    <col min="13309" max="13309" width="9.7109375" style="301" customWidth="1"/>
    <col min="13310" max="13310" width="10.7109375" style="301" customWidth="1"/>
    <col min="13311" max="13311" width="7.7109375" style="301" customWidth="1"/>
    <col min="13312" max="13312" width="9.7109375" style="301" customWidth="1"/>
    <col min="13313" max="13313" width="10.7109375" style="301" customWidth="1"/>
    <col min="13314" max="13314" width="7.7109375" style="301" customWidth="1"/>
    <col min="13315" max="13315" width="9.7109375" style="301" customWidth="1"/>
    <col min="13316" max="13316" width="10.7109375" style="301" customWidth="1"/>
    <col min="13317" max="13317" width="7.7109375" style="301" customWidth="1"/>
    <col min="13318" max="13318" width="13" style="301" customWidth="1"/>
    <col min="13319" max="13319" width="15.28515625" style="301" bestFit="1" customWidth="1"/>
    <col min="13320" max="13320" width="16.5703125" style="301" customWidth="1"/>
    <col min="13321" max="13321" width="11.85546875" style="301" customWidth="1"/>
    <col min="13322" max="13322" width="10.42578125" style="301" bestFit="1" customWidth="1"/>
    <col min="13323" max="13323" width="5.7109375" style="301" customWidth="1"/>
    <col min="13324" max="13560" width="15.42578125" style="301"/>
    <col min="13561" max="13561" width="10.7109375" style="301" customWidth="1"/>
    <col min="13562" max="13562" width="32.5703125" style="301" customWidth="1"/>
    <col min="13563" max="13563" width="4.42578125" style="301" bestFit="1" customWidth="1"/>
    <col min="13564" max="13564" width="6.5703125" style="301" customWidth="1"/>
    <col min="13565" max="13565" width="9.7109375" style="301" customWidth="1"/>
    <col min="13566" max="13566" width="10.7109375" style="301" customWidth="1"/>
    <col min="13567" max="13567" width="7.7109375" style="301" customWidth="1"/>
    <col min="13568" max="13568" width="9.7109375" style="301" customWidth="1"/>
    <col min="13569" max="13569" width="10.7109375" style="301" customWidth="1"/>
    <col min="13570" max="13570" width="7.7109375" style="301" customWidth="1"/>
    <col min="13571" max="13571" width="9.7109375" style="301" customWidth="1"/>
    <col min="13572" max="13572" width="10.7109375" style="301" customWidth="1"/>
    <col min="13573" max="13573" width="7.7109375" style="301" customWidth="1"/>
    <col min="13574" max="13574" width="13" style="301" customWidth="1"/>
    <col min="13575" max="13575" width="15.28515625" style="301" bestFit="1" customWidth="1"/>
    <col min="13576" max="13576" width="16.5703125" style="301" customWidth="1"/>
    <col min="13577" max="13577" width="11.85546875" style="301" customWidth="1"/>
    <col min="13578" max="13578" width="10.42578125" style="301" bestFit="1" customWidth="1"/>
    <col min="13579" max="13579" width="5.7109375" style="301" customWidth="1"/>
    <col min="13580" max="13816" width="15.42578125" style="301"/>
    <col min="13817" max="13817" width="10.7109375" style="301" customWidth="1"/>
    <col min="13818" max="13818" width="32.5703125" style="301" customWidth="1"/>
    <col min="13819" max="13819" width="4.42578125" style="301" bestFit="1" customWidth="1"/>
    <col min="13820" max="13820" width="6.5703125" style="301" customWidth="1"/>
    <col min="13821" max="13821" width="9.7109375" style="301" customWidth="1"/>
    <col min="13822" max="13822" width="10.7109375" style="301" customWidth="1"/>
    <col min="13823" max="13823" width="7.7109375" style="301" customWidth="1"/>
    <col min="13824" max="13824" width="9.7109375" style="301" customWidth="1"/>
    <col min="13825" max="13825" width="10.7109375" style="301" customWidth="1"/>
    <col min="13826" max="13826" width="7.7109375" style="301" customWidth="1"/>
    <col min="13827" max="13827" width="9.7109375" style="301" customWidth="1"/>
    <col min="13828" max="13828" width="10.7109375" style="301" customWidth="1"/>
    <col min="13829" max="13829" width="7.7109375" style="301" customWidth="1"/>
    <col min="13830" max="13830" width="13" style="301" customWidth="1"/>
    <col min="13831" max="13831" width="15.28515625" style="301" bestFit="1" customWidth="1"/>
    <col min="13832" max="13832" width="16.5703125" style="301" customWidth="1"/>
    <col min="13833" max="13833" width="11.85546875" style="301" customWidth="1"/>
    <col min="13834" max="13834" width="10.42578125" style="301" bestFit="1" customWidth="1"/>
    <col min="13835" max="13835" width="5.7109375" style="301" customWidth="1"/>
    <col min="13836" max="14072" width="15.42578125" style="301"/>
    <col min="14073" max="14073" width="10.7109375" style="301" customWidth="1"/>
    <col min="14074" max="14074" width="32.5703125" style="301" customWidth="1"/>
    <col min="14075" max="14075" width="4.42578125" style="301" bestFit="1" customWidth="1"/>
    <col min="14076" max="14076" width="6.5703125" style="301" customWidth="1"/>
    <col min="14077" max="14077" width="9.7109375" style="301" customWidth="1"/>
    <col min="14078" max="14078" width="10.7109375" style="301" customWidth="1"/>
    <col min="14079" max="14079" width="7.7109375" style="301" customWidth="1"/>
    <col min="14080" max="14080" width="9.7109375" style="301" customWidth="1"/>
    <col min="14081" max="14081" width="10.7109375" style="301" customWidth="1"/>
    <col min="14082" max="14082" width="7.7109375" style="301" customWidth="1"/>
    <col min="14083" max="14083" width="9.7109375" style="301" customWidth="1"/>
    <col min="14084" max="14084" width="10.7109375" style="301" customWidth="1"/>
    <col min="14085" max="14085" width="7.7109375" style="301" customWidth="1"/>
    <col min="14086" max="14086" width="13" style="301" customWidth="1"/>
    <col min="14087" max="14087" width="15.28515625" style="301" bestFit="1" customWidth="1"/>
    <col min="14088" max="14088" width="16.5703125" style="301" customWidth="1"/>
    <col min="14089" max="14089" width="11.85546875" style="301" customWidth="1"/>
    <col min="14090" max="14090" width="10.42578125" style="301" bestFit="1" customWidth="1"/>
    <col min="14091" max="14091" width="5.7109375" style="301" customWidth="1"/>
    <col min="14092" max="14328" width="15.42578125" style="301"/>
    <col min="14329" max="14329" width="10.7109375" style="301" customWidth="1"/>
    <col min="14330" max="14330" width="32.5703125" style="301" customWidth="1"/>
    <col min="14331" max="14331" width="4.42578125" style="301" bestFit="1" customWidth="1"/>
    <col min="14332" max="14332" width="6.5703125" style="301" customWidth="1"/>
    <col min="14333" max="14333" width="9.7109375" style="301" customWidth="1"/>
    <col min="14334" max="14334" width="10.7109375" style="301" customWidth="1"/>
    <col min="14335" max="14335" width="7.7109375" style="301" customWidth="1"/>
    <col min="14336" max="14336" width="9.7109375" style="301" customWidth="1"/>
    <col min="14337" max="14337" width="10.7109375" style="301" customWidth="1"/>
    <col min="14338" max="14338" width="7.7109375" style="301" customWidth="1"/>
    <col min="14339" max="14339" width="9.7109375" style="301" customWidth="1"/>
    <col min="14340" max="14340" width="10.7109375" style="301" customWidth="1"/>
    <col min="14341" max="14341" width="7.7109375" style="301" customWidth="1"/>
    <col min="14342" max="14342" width="13" style="301" customWidth="1"/>
    <col min="14343" max="14343" width="15.28515625" style="301" bestFit="1" customWidth="1"/>
    <col min="14344" max="14344" width="16.5703125" style="301" customWidth="1"/>
    <col min="14345" max="14345" width="11.85546875" style="301" customWidth="1"/>
    <col min="14346" max="14346" width="10.42578125" style="301" bestFit="1" customWidth="1"/>
    <col min="14347" max="14347" width="5.7109375" style="301" customWidth="1"/>
    <col min="14348" max="14584" width="15.42578125" style="301"/>
    <col min="14585" max="14585" width="10.7109375" style="301" customWidth="1"/>
    <col min="14586" max="14586" width="32.5703125" style="301" customWidth="1"/>
    <col min="14587" max="14587" width="4.42578125" style="301" bestFit="1" customWidth="1"/>
    <col min="14588" max="14588" width="6.5703125" style="301" customWidth="1"/>
    <col min="14589" max="14589" width="9.7109375" style="301" customWidth="1"/>
    <col min="14590" max="14590" width="10.7109375" style="301" customWidth="1"/>
    <col min="14591" max="14591" width="7.7109375" style="301" customWidth="1"/>
    <col min="14592" max="14592" width="9.7109375" style="301" customWidth="1"/>
    <col min="14593" max="14593" width="10.7109375" style="301" customWidth="1"/>
    <col min="14594" max="14594" width="7.7109375" style="301" customWidth="1"/>
    <col min="14595" max="14595" width="9.7109375" style="301" customWidth="1"/>
    <col min="14596" max="14596" width="10.7109375" style="301" customWidth="1"/>
    <col min="14597" max="14597" width="7.7109375" style="301" customWidth="1"/>
    <col min="14598" max="14598" width="13" style="301" customWidth="1"/>
    <col min="14599" max="14599" width="15.28515625" style="301" bestFit="1" customWidth="1"/>
    <col min="14600" max="14600" width="16.5703125" style="301" customWidth="1"/>
    <col min="14601" max="14601" width="11.85546875" style="301" customWidth="1"/>
    <col min="14602" max="14602" width="10.42578125" style="301" bestFit="1" customWidth="1"/>
    <col min="14603" max="14603" width="5.7109375" style="301" customWidth="1"/>
    <col min="14604" max="14840" width="15.42578125" style="301"/>
    <col min="14841" max="14841" width="10.7109375" style="301" customWidth="1"/>
    <col min="14842" max="14842" width="32.5703125" style="301" customWidth="1"/>
    <col min="14843" max="14843" width="4.42578125" style="301" bestFit="1" customWidth="1"/>
    <col min="14844" max="14844" width="6.5703125" style="301" customWidth="1"/>
    <col min="14845" max="14845" width="9.7109375" style="301" customWidth="1"/>
    <col min="14846" max="14846" width="10.7109375" style="301" customWidth="1"/>
    <col min="14847" max="14847" width="7.7109375" style="301" customWidth="1"/>
    <col min="14848" max="14848" width="9.7109375" style="301" customWidth="1"/>
    <col min="14849" max="14849" width="10.7109375" style="301" customWidth="1"/>
    <col min="14850" max="14850" width="7.7109375" style="301" customWidth="1"/>
    <col min="14851" max="14851" width="9.7109375" style="301" customWidth="1"/>
    <col min="14852" max="14852" width="10.7109375" style="301" customWidth="1"/>
    <col min="14853" max="14853" width="7.7109375" style="301" customWidth="1"/>
    <col min="14854" max="14854" width="13" style="301" customWidth="1"/>
    <col min="14855" max="14855" width="15.28515625" style="301" bestFit="1" customWidth="1"/>
    <col min="14856" max="14856" width="16.5703125" style="301" customWidth="1"/>
    <col min="14857" max="14857" width="11.85546875" style="301" customWidth="1"/>
    <col min="14858" max="14858" width="10.42578125" style="301" bestFit="1" customWidth="1"/>
    <col min="14859" max="14859" width="5.7109375" style="301" customWidth="1"/>
    <col min="14860" max="15096" width="15.42578125" style="301"/>
    <col min="15097" max="15097" width="10.7109375" style="301" customWidth="1"/>
    <col min="15098" max="15098" width="32.5703125" style="301" customWidth="1"/>
    <col min="15099" max="15099" width="4.42578125" style="301" bestFit="1" customWidth="1"/>
    <col min="15100" max="15100" width="6.5703125" style="301" customWidth="1"/>
    <col min="15101" max="15101" width="9.7109375" style="301" customWidth="1"/>
    <col min="15102" max="15102" width="10.7109375" style="301" customWidth="1"/>
    <col min="15103" max="15103" width="7.7109375" style="301" customWidth="1"/>
    <col min="15104" max="15104" width="9.7109375" style="301" customWidth="1"/>
    <col min="15105" max="15105" width="10.7109375" style="301" customWidth="1"/>
    <col min="15106" max="15106" width="7.7109375" style="301" customWidth="1"/>
    <col min="15107" max="15107" width="9.7109375" style="301" customWidth="1"/>
    <col min="15108" max="15108" width="10.7109375" style="301" customWidth="1"/>
    <col min="15109" max="15109" width="7.7109375" style="301" customWidth="1"/>
    <col min="15110" max="15110" width="13" style="301" customWidth="1"/>
    <col min="15111" max="15111" width="15.28515625" style="301" bestFit="1" customWidth="1"/>
    <col min="15112" max="15112" width="16.5703125" style="301" customWidth="1"/>
    <col min="15113" max="15113" width="11.85546875" style="301" customWidth="1"/>
    <col min="15114" max="15114" width="10.42578125" style="301" bestFit="1" customWidth="1"/>
    <col min="15115" max="15115" width="5.7109375" style="301" customWidth="1"/>
    <col min="15116" max="15352" width="15.42578125" style="301"/>
    <col min="15353" max="15353" width="10.7109375" style="301" customWidth="1"/>
    <col min="15354" max="15354" width="32.5703125" style="301" customWidth="1"/>
    <col min="15355" max="15355" width="4.42578125" style="301" bestFit="1" customWidth="1"/>
    <col min="15356" max="15356" width="6.5703125" style="301" customWidth="1"/>
    <col min="15357" max="15357" width="9.7109375" style="301" customWidth="1"/>
    <col min="15358" max="15358" width="10.7109375" style="301" customWidth="1"/>
    <col min="15359" max="15359" width="7.7109375" style="301" customWidth="1"/>
    <col min="15360" max="15360" width="9.7109375" style="301" customWidth="1"/>
    <col min="15361" max="15361" width="10.7109375" style="301" customWidth="1"/>
    <col min="15362" max="15362" width="7.7109375" style="301" customWidth="1"/>
    <col min="15363" max="15363" width="9.7109375" style="301" customWidth="1"/>
    <col min="15364" max="15364" width="10.7109375" style="301" customWidth="1"/>
    <col min="15365" max="15365" width="7.7109375" style="301" customWidth="1"/>
    <col min="15366" max="15366" width="13" style="301" customWidth="1"/>
    <col min="15367" max="15367" width="15.28515625" style="301" bestFit="1" customWidth="1"/>
    <col min="15368" max="15368" width="16.5703125" style="301" customWidth="1"/>
    <col min="15369" max="15369" width="11.85546875" style="301" customWidth="1"/>
    <col min="15370" max="15370" width="10.42578125" style="301" bestFit="1" customWidth="1"/>
    <col min="15371" max="15371" width="5.7109375" style="301" customWidth="1"/>
    <col min="15372" max="15608" width="15.42578125" style="301"/>
    <col min="15609" max="15609" width="10.7109375" style="301" customWidth="1"/>
    <col min="15610" max="15610" width="32.5703125" style="301" customWidth="1"/>
    <col min="15611" max="15611" width="4.42578125" style="301" bestFit="1" customWidth="1"/>
    <col min="15612" max="15612" width="6.5703125" style="301" customWidth="1"/>
    <col min="15613" max="15613" width="9.7109375" style="301" customWidth="1"/>
    <col min="15614" max="15614" width="10.7109375" style="301" customWidth="1"/>
    <col min="15615" max="15615" width="7.7109375" style="301" customWidth="1"/>
    <col min="15616" max="15616" width="9.7109375" style="301" customWidth="1"/>
    <col min="15617" max="15617" width="10.7109375" style="301" customWidth="1"/>
    <col min="15618" max="15618" width="7.7109375" style="301" customWidth="1"/>
    <col min="15619" max="15619" width="9.7109375" style="301" customWidth="1"/>
    <col min="15620" max="15620" width="10.7109375" style="301" customWidth="1"/>
    <col min="15621" max="15621" width="7.7109375" style="301" customWidth="1"/>
    <col min="15622" max="15622" width="13" style="301" customWidth="1"/>
    <col min="15623" max="15623" width="15.28515625" style="301" bestFit="1" customWidth="1"/>
    <col min="15624" max="15624" width="16.5703125" style="301" customWidth="1"/>
    <col min="15625" max="15625" width="11.85546875" style="301" customWidth="1"/>
    <col min="15626" max="15626" width="10.42578125" style="301" bestFit="1" customWidth="1"/>
    <col min="15627" max="15627" width="5.7109375" style="301" customWidth="1"/>
    <col min="15628" max="15864" width="15.42578125" style="301"/>
    <col min="15865" max="15865" width="10.7109375" style="301" customWidth="1"/>
    <col min="15866" max="15866" width="32.5703125" style="301" customWidth="1"/>
    <col min="15867" max="15867" width="4.42578125" style="301" bestFit="1" customWidth="1"/>
    <col min="15868" max="15868" width="6.5703125" style="301" customWidth="1"/>
    <col min="15869" max="15869" width="9.7109375" style="301" customWidth="1"/>
    <col min="15870" max="15870" width="10.7109375" style="301" customWidth="1"/>
    <col min="15871" max="15871" width="7.7109375" style="301" customWidth="1"/>
    <col min="15872" max="15872" width="9.7109375" style="301" customWidth="1"/>
    <col min="15873" max="15873" width="10.7109375" style="301" customWidth="1"/>
    <col min="15874" max="15874" width="7.7109375" style="301" customWidth="1"/>
    <col min="15875" max="15875" width="9.7109375" style="301" customWidth="1"/>
    <col min="15876" max="15876" width="10.7109375" style="301" customWidth="1"/>
    <col min="15877" max="15877" width="7.7109375" style="301" customWidth="1"/>
    <col min="15878" max="15878" width="13" style="301" customWidth="1"/>
    <col min="15879" max="15879" width="15.28515625" style="301" bestFit="1" customWidth="1"/>
    <col min="15880" max="15880" width="16.5703125" style="301" customWidth="1"/>
    <col min="15881" max="15881" width="11.85546875" style="301" customWidth="1"/>
    <col min="15882" max="15882" width="10.42578125" style="301" bestFit="1" customWidth="1"/>
    <col min="15883" max="15883" width="5.7109375" style="301" customWidth="1"/>
    <col min="15884" max="16120" width="15.42578125" style="301"/>
    <col min="16121" max="16121" width="10.7109375" style="301" customWidth="1"/>
    <col min="16122" max="16122" width="32.5703125" style="301" customWidth="1"/>
    <col min="16123" max="16123" width="4.42578125" style="301" bestFit="1" customWidth="1"/>
    <col min="16124" max="16124" width="6.5703125" style="301" customWidth="1"/>
    <col min="16125" max="16125" width="9.7109375" style="301" customWidth="1"/>
    <col min="16126" max="16126" width="10.7109375" style="301" customWidth="1"/>
    <col min="16127" max="16127" width="7.7109375" style="301" customWidth="1"/>
    <col min="16128" max="16128" width="9.7109375" style="301" customWidth="1"/>
    <col min="16129" max="16129" width="10.7109375" style="301" customWidth="1"/>
    <col min="16130" max="16130" width="7.7109375" style="301" customWidth="1"/>
    <col min="16131" max="16131" width="9.7109375" style="301" customWidth="1"/>
    <col min="16132" max="16132" width="10.7109375" style="301" customWidth="1"/>
    <col min="16133" max="16133" width="7.7109375" style="301" customWidth="1"/>
    <col min="16134" max="16134" width="13" style="301" customWidth="1"/>
    <col min="16135" max="16135" width="15.28515625" style="301" bestFit="1" customWidth="1"/>
    <col min="16136" max="16136" width="16.5703125" style="301" customWidth="1"/>
    <col min="16137" max="16137" width="11.85546875" style="301" customWidth="1"/>
    <col min="16138" max="16138" width="10.42578125" style="301" bestFit="1" customWidth="1"/>
    <col min="16139" max="16139" width="5.7109375" style="301" customWidth="1"/>
    <col min="16140" max="16384" width="15.42578125" style="301"/>
  </cols>
  <sheetData>
    <row r="1" spans="1:7" ht="15" customHeight="1">
      <c r="A1" s="496" t="s">
        <v>740</v>
      </c>
      <c r="B1" s="496"/>
      <c r="C1" s="496"/>
      <c r="D1" s="496"/>
      <c r="E1" s="496"/>
      <c r="F1" s="496"/>
      <c r="G1" s="496"/>
    </row>
    <row r="2" spans="1:7" ht="15" customHeight="1">
      <c r="A2" s="302" t="s">
        <v>741</v>
      </c>
      <c r="B2" s="302" t="s">
        <v>742</v>
      </c>
      <c r="C2" s="302" t="s">
        <v>492</v>
      </c>
      <c r="D2" s="302" t="s">
        <v>677</v>
      </c>
      <c r="E2" s="302" t="s">
        <v>743</v>
      </c>
      <c r="F2" s="302" t="s">
        <v>680</v>
      </c>
      <c r="G2" s="302" t="s">
        <v>744</v>
      </c>
    </row>
    <row r="3" spans="1:7" ht="30">
      <c r="A3" s="303" t="str">
        <f>COTAÇÕES!A16</f>
        <v>COTAÇÃO 02</v>
      </c>
      <c r="B3" s="304" t="str">
        <f>COTAÇÕES!C16</f>
        <v>Holofote Refletor de Led Linear 400W IP68 Branco Bivolt Duplo</v>
      </c>
      <c r="C3" s="305" t="str">
        <f>COTAÇÕES!E16</f>
        <v>un</v>
      </c>
      <c r="D3" s="306" t="s">
        <v>749</v>
      </c>
      <c r="E3" s="307" t="s">
        <v>748</v>
      </c>
      <c r="F3" s="308">
        <v>539.49</v>
      </c>
      <c r="G3" s="309">
        <v>45127</v>
      </c>
    </row>
    <row r="4" spans="1:7" ht="15" customHeight="1">
      <c r="A4" s="301"/>
    </row>
    <row r="5" spans="1:7" ht="15" customHeight="1">
      <c r="A5" s="301"/>
    </row>
    <row r="6" spans="1:7" ht="15" customHeight="1">
      <c r="A6" s="301"/>
    </row>
    <row r="7" spans="1:7" ht="15" customHeight="1">
      <c r="A7" s="301"/>
    </row>
    <row r="8" spans="1:7" ht="15" customHeight="1">
      <c r="A8" s="301"/>
    </row>
    <row r="9" spans="1:7" ht="15" customHeight="1">
      <c r="A9" s="301"/>
    </row>
    <row r="10" spans="1:7" ht="15" customHeight="1">
      <c r="A10" s="301"/>
    </row>
    <row r="11" spans="1:7" ht="15" customHeight="1">
      <c r="A11" s="301"/>
    </row>
    <row r="12" spans="1:7" ht="15" customHeight="1">
      <c r="A12" s="301"/>
    </row>
    <row r="13" spans="1:7" ht="15" customHeight="1">
      <c r="A13" s="301"/>
    </row>
    <row r="14" spans="1:7" ht="15" customHeight="1">
      <c r="A14" s="301"/>
    </row>
    <row r="15" spans="1:7" ht="15" customHeight="1">
      <c r="A15" s="301"/>
    </row>
    <row r="16" spans="1:7" ht="15" customHeight="1">
      <c r="A16" s="301"/>
    </row>
    <row r="17" spans="1:1" ht="15" customHeight="1">
      <c r="A17" s="301"/>
    </row>
    <row r="18" spans="1:1" ht="15" customHeight="1">
      <c r="A18" s="301"/>
    </row>
    <row r="19" spans="1:1" ht="15" customHeight="1">
      <c r="A19" s="301"/>
    </row>
    <row r="20" spans="1:1" ht="15" customHeight="1">
      <c r="A20" s="301"/>
    </row>
    <row r="21" spans="1:1" ht="15" customHeight="1">
      <c r="A21" s="301"/>
    </row>
    <row r="22" spans="1:1" ht="15" customHeight="1">
      <c r="A22" s="301"/>
    </row>
    <row r="23" spans="1:1" ht="15" customHeight="1">
      <c r="A23" s="301"/>
    </row>
    <row r="24" spans="1:1" ht="15" customHeight="1">
      <c r="A24" s="301"/>
    </row>
    <row r="25" spans="1:1" ht="15" customHeight="1">
      <c r="A25" s="301"/>
    </row>
    <row r="26" spans="1:1" ht="15" customHeight="1">
      <c r="A26" s="301"/>
    </row>
    <row r="27" spans="1:1" ht="15" customHeight="1">
      <c r="A27" s="301"/>
    </row>
    <row r="28" spans="1:1" ht="15" customHeight="1">
      <c r="A28" s="301"/>
    </row>
    <row r="29" spans="1:1" ht="15" customHeight="1">
      <c r="A29" s="301"/>
    </row>
    <row r="30" spans="1:1" ht="15" customHeight="1">
      <c r="A30" s="301"/>
    </row>
    <row r="31" spans="1:1" ht="15" customHeight="1">
      <c r="A31" s="301"/>
    </row>
    <row r="32" spans="1:1" ht="15" customHeight="1">
      <c r="A32" s="301"/>
    </row>
    <row r="33" spans="1:7" ht="15" customHeight="1">
      <c r="A33" s="301"/>
    </row>
    <row r="34" spans="1:7" ht="15" customHeight="1">
      <c r="A34" s="301"/>
    </row>
    <row r="35" spans="1:7" ht="15" customHeight="1">
      <c r="A35" s="301"/>
    </row>
    <row r="36" spans="1:7" ht="15" customHeight="1">
      <c r="A36" s="301"/>
    </row>
    <row r="37" spans="1:7" ht="15" customHeight="1">
      <c r="A37" s="301"/>
    </row>
    <row r="38" spans="1:7" ht="15" customHeight="1">
      <c r="A38" s="301"/>
    </row>
    <row r="39" spans="1:7" ht="15" customHeight="1">
      <c r="A39" s="302" t="s">
        <v>741</v>
      </c>
      <c r="B39" s="302" t="s">
        <v>742</v>
      </c>
      <c r="C39" s="302" t="s">
        <v>492</v>
      </c>
      <c r="D39" s="302" t="s">
        <v>677</v>
      </c>
      <c r="E39" s="302" t="s">
        <v>743</v>
      </c>
      <c r="F39" s="302" t="s">
        <v>680</v>
      </c>
      <c r="G39" s="302" t="s">
        <v>744</v>
      </c>
    </row>
    <row r="40" spans="1:7" ht="90">
      <c r="A40" s="303" t="str">
        <f>COTAÇÕES!A16</f>
        <v>COTAÇÃO 02</v>
      </c>
      <c r="B40" s="304" t="str">
        <f>COTAÇÕES!C16</f>
        <v>Holofote Refletor de Led Linear 400W IP68 Branco Bivolt Duplo</v>
      </c>
      <c r="C40" s="305" t="str">
        <f>COTAÇÕES!E16</f>
        <v>un</v>
      </c>
      <c r="D40" s="306" t="s">
        <v>751</v>
      </c>
      <c r="E40" s="307" t="s">
        <v>750</v>
      </c>
      <c r="F40" s="308">
        <v>499</v>
      </c>
      <c r="G40" s="309">
        <v>45127</v>
      </c>
    </row>
    <row r="41" spans="1:7" ht="15" customHeight="1">
      <c r="A41" s="301"/>
    </row>
    <row r="42" spans="1:7" ht="15" customHeight="1">
      <c r="A42" s="301"/>
    </row>
    <row r="43" spans="1:7" ht="15" customHeight="1">
      <c r="A43" s="301"/>
    </row>
    <row r="44" spans="1:7" ht="15" customHeight="1">
      <c r="A44" s="301"/>
    </row>
    <row r="45" spans="1:7" ht="15" customHeight="1">
      <c r="A45" s="301"/>
    </row>
    <row r="46" spans="1:7" ht="15" customHeight="1">
      <c r="A46" s="301"/>
    </row>
    <row r="47" spans="1:7" ht="15" customHeight="1">
      <c r="A47" s="301"/>
    </row>
    <row r="48" spans="1:7" ht="15" customHeight="1">
      <c r="A48" s="301"/>
      <c r="B48" s="310"/>
    </row>
    <row r="49" spans="1:1" ht="15" customHeight="1">
      <c r="A49" s="301"/>
    </row>
    <row r="50" spans="1:1" ht="15" customHeight="1">
      <c r="A50" s="301"/>
    </row>
    <row r="51" spans="1:1" ht="15" customHeight="1">
      <c r="A51" s="301"/>
    </row>
    <row r="52" spans="1:1" ht="15" customHeight="1">
      <c r="A52" s="301"/>
    </row>
    <row r="53" spans="1:1" ht="15" customHeight="1">
      <c r="A53" s="301"/>
    </row>
    <row r="54" spans="1:1" ht="15" customHeight="1">
      <c r="A54" s="301"/>
    </row>
    <row r="55" spans="1:1" ht="15" customHeight="1">
      <c r="A55" s="301"/>
    </row>
    <row r="56" spans="1:1" ht="15" customHeight="1">
      <c r="A56" s="301"/>
    </row>
    <row r="57" spans="1:1" ht="15" customHeight="1">
      <c r="A57" s="301"/>
    </row>
    <row r="58" spans="1:1" ht="15" customHeight="1">
      <c r="A58" s="301"/>
    </row>
    <row r="59" spans="1:1" ht="15" customHeight="1">
      <c r="A59" s="301"/>
    </row>
    <row r="60" spans="1:1" ht="15" customHeight="1">
      <c r="A60" s="301"/>
    </row>
    <row r="61" spans="1:1" ht="15" customHeight="1">
      <c r="A61" s="301"/>
    </row>
    <row r="62" spans="1:1" ht="15" customHeight="1">
      <c r="A62" s="301"/>
    </row>
    <row r="63" spans="1:1" ht="15" customHeight="1">
      <c r="A63" s="301"/>
    </row>
    <row r="64" spans="1:1" ht="15" customHeight="1">
      <c r="A64" s="301"/>
    </row>
    <row r="65" spans="1:7" ht="15" customHeight="1">
      <c r="A65" s="301"/>
    </row>
    <row r="66" spans="1:7" ht="15" customHeight="1">
      <c r="A66" s="301"/>
    </row>
    <row r="67" spans="1:7" ht="15" customHeight="1">
      <c r="A67" s="301"/>
    </row>
    <row r="68" spans="1:7" ht="15" customHeight="1">
      <c r="A68" s="301"/>
    </row>
    <row r="69" spans="1:7" ht="15" customHeight="1">
      <c r="A69" s="301"/>
    </row>
    <row r="70" spans="1:7" ht="15" customHeight="1">
      <c r="A70" s="301"/>
    </row>
    <row r="71" spans="1:7" ht="15" customHeight="1">
      <c r="A71" s="301"/>
    </row>
    <row r="72" spans="1:7" ht="15" customHeight="1">
      <c r="A72" s="301"/>
    </row>
    <row r="73" spans="1:7" ht="15" customHeight="1">
      <c r="A73" s="302" t="s">
        <v>741</v>
      </c>
      <c r="B73" s="302" t="s">
        <v>742</v>
      </c>
      <c r="C73" s="302" t="s">
        <v>492</v>
      </c>
      <c r="D73" s="302" t="s">
        <v>677</v>
      </c>
      <c r="E73" s="302" t="s">
        <v>743</v>
      </c>
      <c r="F73" s="302" t="s">
        <v>680</v>
      </c>
      <c r="G73" s="302" t="s">
        <v>744</v>
      </c>
    </row>
    <row r="74" spans="1:7" ht="60">
      <c r="A74" s="303" t="str">
        <f>COTAÇÕES!A16</f>
        <v>COTAÇÃO 02</v>
      </c>
      <c r="B74" s="304" t="str">
        <f>COTAÇÕES!C16</f>
        <v>Holofote Refletor de Led Linear 400W IP68 Branco Bivolt Duplo</v>
      </c>
      <c r="C74" s="305" t="str">
        <f>COTAÇÕES!E16</f>
        <v>un</v>
      </c>
      <c r="D74" s="306" t="s">
        <v>752</v>
      </c>
      <c r="E74" s="307" t="s">
        <v>687</v>
      </c>
      <c r="F74" s="308">
        <f>389.99+47.54</f>
        <v>437.53000000000003</v>
      </c>
      <c r="G74" s="309">
        <v>45127</v>
      </c>
    </row>
    <row r="75" spans="1:7" ht="15" customHeight="1">
      <c r="A75" s="301"/>
    </row>
    <row r="76" spans="1:7" ht="15" customHeight="1">
      <c r="A76" s="301"/>
    </row>
    <row r="77" spans="1:7" ht="15" customHeight="1">
      <c r="A77" s="301"/>
    </row>
    <row r="78" spans="1:7" ht="15" customHeight="1">
      <c r="A78" s="301"/>
    </row>
    <row r="79" spans="1:7" ht="15" customHeight="1">
      <c r="A79" s="301"/>
    </row>
    <row r="80" spans="1:7" ht="15" customHeight="1">
      <c r="A80" s="301"/>
    </row>
    <row r="81" spans="1:1" ht="15" customHeight="1">
      <c r="A81" s="301"/>
    </row>
    <row r="82" spans="1:1" ht="15" customHeight="1">
      <c r="A82" s="301"/>
    </row>
    <row r="83" spans="1:1" ht="15" customHeight="1">
      <c r="A83" s="301"/>
    </row>
    <row r="84" spans="1:1" ht="15" customHeight="1">
      <c r="A84" s="301"/>
    </row>
    <row r="85" spans="1:1" ht="15" customHeight="1">
      <c r="A85" s="301"/>
    </row>
    <row r="86" spans="1:1" ht="15" customHeight="1">
      <c r="A86" s="301"/>
    </row>
    <row r="87" spans="1:1" ht="15" customHeight="1">
      <c r="A87" s="301"/>
    </row>
    <row r="88" spans="1:1" ht="15" customHeight="1">
      <c r="A88" s="301"/>
    </row>
    <row r="89" spans="1:1" ht="15" customHeight="1">
      <c r="A89" s="301"/>
    </row>
    <row r="90" spans="1:1" ht="15" customHeight="1">
      <c r="A90" s="301"/>
    </row>
    <row r="91" spans="1:1" ht="15" customHeight="1">
      <c r="A91" s="301"/>
    </row>
    <row r="92" spans="1:1" ht="15" customHeight="1">
      <c r="A92" s="301"/>
    </row>
    <row r="93" spans="1:1" ht="15" customHeight="1">
      <c r="A93" s="301"/>
    </row>
    <row r="94" spans="1:1" ht="15" customHeight="1">
      <c r="A94" s="301"/>
    </row>
    <row r="95" spans="1:1" ht="15" customHeight="1">
      <c r="A95" s="301"/>
    </row>
    <row r="96" spans="1:1" ht="15" customHeight="1">
      <c r="A96" s="301"/>
    </row>
    <row r="97" spans="1:2" ht="15" customHeight="1">
      <c r="A97" s="301"/>
    </row>
    <row r="98" spans="1:2" ht="15" customHeight="1">
      <c r="A98" s="301"/>
    </row>
    <row r="99" spans="1:2" ht="15" customHeight="1">
      <c r="A99" s="301"/>
    </row>
    <row r="100" spans="1:2" ht="15" customHeight="1">
      <c r="A100" s="301"/>
    </row>
    <row r="101" spans="1:2" ht="15" customHeight="1">
      <c r="A101" s="301"/>
    </row>
    <row r="102" spans="1:2" ht="15" customHeight="1">
      <c r="A102" s="301"/>
    </row>
    <row r="103" spans="1:2" ht="15" customHeight="1">
      <c r="A103" s="301"/>
    </row>
    <row r="104" spans="1:2" ht="15" customHeight="1">
      <c r="A104" s="301"/>
    </row>
    <row r="105" spans="1:2" ht="15" customHeight="1">
      <c r="A105" s="301"/>
    </row>
    <row r="106" spans="1:2" ht="15" customHeight="1">
      <c r="A106" s="301"/>
    </row>
    <row r="107" spans="1:2" ht="15" customHeight="1">
      <c r="A107" s="301"/>
    </row>
    <row r="108" spans="1:2" ht="15" customHeight="1">
      <c r="A108" s="301"/>
      <c r="B108" s="310"/>
    </row>
    <row r="109" spans="1:2" ht="15" customHeight="1">
      <c r="A109" s="301"/>
    </row>
    <row r="110" spans="1:2" ht="15" customHeight="1">
      <c r="A110" s="301"/>
    </row>
    <row r="111" spans="1:2" ht="15" customHeight="1">
      <c r="A111" s="301"/>
    </row>
    <row r="112" spans="1:2" ht="15" customHeight="1">
      <c r="A112" s="301"/>
    </row>
    <row r="113" spans="1:7" ht="15" customHeight="1">
      <c r="A113" s="301"/>
    </row>
    <row r="114" spans="1:7" ht="15" customHeight="1">
      <c r="A114" s="301"/>
    </row>
    <row r="115" spans="1:7" ht="15" customHeight="1">
      <c r="A115" s="301"/>
    </row>
    <row r="116" spans="1:7" ht="15" customHeight="1">
      <c r="A116" s="301"/>
    </row>
    <row r="117" spans="1:7" ht="15" customHeight="1">
      <c r="A117" s="301"/>
    </row>
    <row r="118" spans="1:7" ht="15" customHeight="1">
      <c r="A118" s="302" t="s">
        <v>741</v>
      </c>
      <c r="B118" s="302" t="s">
        <v>742</v>
      </c>
      <c r="C118" s="302" t="s">
        <v>492</v>
      </c>
      <c r="D118" s="302" t="s">
        <v>677</v>
      </c>
      <c r="E118" s="302" t="s">
        <v>743</v>
      </c>
      <c r="F118" s="302" t="s">
        <v>680</v>
      </c>
      <c r="G118" s="302" t="s">
        <v>744</v>
      </c>
    </row>
    <row r="119" spans="1:7" ht="75">
      <c r="A119" s="303" t="str">
        <f>COTAÇÕES!$A$24</f>
        <v>COTAÇÃO 03</v>
      </c>
      <c r="B119" s="304" t="str">
        <f>COTAÇÕES!$C$24</f>
        <v>Refletor Led 200W Branco Frio Bivolt Prova Dágua Ip67</v>
      </c>
      <c r="C119" s="305" t="str">
        <f>COTAÇÕES!$E$24</f>
        <v>UN</v>
      </c>
      <c r="D119" s="306" t="str">
        <f>COTAÇÕES!A27</f>
        <v>COMERCIAL ILUMINIM LTDA.</v>
      </c>
      <c r="E119" s="307" t="s">
        <v>756</v>
      </c>
      <c r="F119" s="308">
        <f>237.4+12.01</f>
        <v>249.41</v>
      </c>
      <c r="G119" s="309">
        <v>45127</v>
      </c>
    </row>
    <row r="120" spans="1:7" ht="15" customHeight="1">
      <c r="A120" s="301"/>
    </row>
    <row r="121" spans="1:7" ht="15" customHeight="1">
      <c r="A121" s="301"/>
    </row>
    <row r="122" spans="1:7" ht="15" customHeight="1">
      <c r="A122" s="301"/>
    </row>
    <row r="123" spans="1:7" ht="15" customHeight="1">
      <c r="A123" s="301"/>
    </row>
    <row r="124" spans="1:7" ht="15" customHeight="1">
      <c r="A124" s="301"/>
    </row>
    <row r="125" spans="1:7" ht="15" customHeight="1">
      <c r="A125" s="301"/>
    </row>
    <row r="126" spans="1:7" ht="15" customHeight="1">
      <c r="A126" s="301"/>
    </row>
    <row r="127" spans="1:7" ht="15" customHeight="1">
      <c r="A127" s="301"/>
      <c r="B127" s="310"/>
    </row>
    <row r="128" spans="1:7" ht="15" customHeight="1">
      <c r="A128" s="301"/>
    </row>
    <row r="129" spans="1:1" ht="15" customHeight="1">
      <c r="A129" s="301"/>
    </row>
    <row r="130" spans="1:1" ht="15" customHeight="1">
      <c r="A130" s="301"/>
    </row>
    <row r="131" spans="1:1" ht="15" customHeight="1">
      <c r="A131" s="301"/>
    </row>
    <row r="132" spans="1:1" ht="15" customHeight="1">
      <c r="A132" s="301"/>
    </row>
    <row r="133" spans="1:1" ht="15" customHeight="1">
      <c r="A133" s="301"/>
    </row>
    <row r="134" spans="1:1" ht="15" customHeight="1">
      <c r="A134" s="301"/>
    </row>
    <row r="135" spans="1:1" ht="15" customHeight="1">
      <c r="A135" s="301"/>
    </row>
    <row r="136" spans="1:1" ht="15" customHeight="1">
      <c r="A136" s="301"/>
    </row>
    <row r="137" spans="1:1" ht="15" customHeight="1">
      <c r="A137" s="301"/>
    </row>
    <row r="138" spans="1:1" ht="15" customHeight="1">
      <c r="A138" s="301"/>
    </row>
    <row r="139" spans="1:1" ht="15" customHeight="1">
      <c r="A139" s="301"/>
    </row>
    <row r="140" spans="1:1" ht="15" customHeight="1">
      <c r="A140" s="301"/>
    </row>
    <row r="141" spans="1:1" ht="15" customHeight="1">
      <c r="A141" s="301"/>
    </row>
    <row r="142" spans="1:1" ht="15" customHeight="1">
      <c r="A142" s="301"/>
    </row>
    <row r="143" spans="1:1" ht="15" customHeight="1">
      <c r="A143" s="301"/>
    </row>
    <row r="144" spans="1:1" ht="15" customHeight="1">
      <c r="A144" s="301"/>
    </row>
    <row r="145" spans="1:7" ht="15" customHeight="1">
      <c r="A145" s="301"/>
    </row>
    <row r="146" spans="1:7" ht="15" customHeight="1">
      <c r="A146" s="301"/>
    </row>
    <row r="147" spans="1:7" ht="15" customHeight="1">
      <c r="A147" s="301"/>
    </row>
    <row r="148" spans="1:7" ht="15" customHeight="1">
      <c r="A148" s="301"/>
    </row>
    <row r="149" spans="1:7" ht="15" customHeight="1">
      <c r="A149" s="301"/>
    </row>
    <row r="150" spans="1:7" ht="15" customHeight="1">
      <c r="A150" s="301"/>
    </row>
    <row r="151" spans="1:7" ht="15" customHeight="1">
      <c r="A151" s="301"/>
    </row>
    <row r="152" spans="1:7" ht="15" customHeight="1">
      <c r="A152" s="301"/>
    </row>
    <row r="153" spans="1:7" ht="15" customHeight="1">
      <c r="A153" s="301"/>
    </row>
    <row r="154" spans="1:7" ht="15" customHeight="1">
      <c r="A154" s="301"/>
    </row>
    <row r="155" spans="1:7" ht="15" customHeight="1">
      <c r="A155" s="301"/>
    </row>
    <row r="156" spans="1:7" ht="15" customHeight="1">
      <c r="A156" s="301"/>
    </row>
    <row r="159" spans="1:7" ht="15" customHeight="1">
      <c r="A159" s="302" t="s">
        <v>741</v>
      </c>
      <c r="B159" s="302" t="s">
        <v>742</v>
      </c>
      <c r="C159" s="302" t="s">
        <v>492</v>
      </c>
      <c r="D159" s="302" t="s">
        <v>677</v>
      </c>
      <c r="E159" s="302" t="s">
        <v>743</v>
      </c>
      <c r="F159" s="302" t="s">
        <v>680</v>
      </c>
      <c r="G159" s="302" t="s">
        <v>744</v>
      </c>
    </row>
    <row r="160" spans="1:7" ht="90">
      <c r="A160" s="303" t="str">
        <f>COTAÇÕES!$A$24</f>
        <v>COTAÇÃO 03</v>
      </c>
      <c r="B160" s="304" t="str">
        <f>COTAÇÕES!$C$24</f>
        <v>Refletor Led 200W Branco Frio Bivolt Prova Dágua Ip67</v>
      </c>
      <c r="C160" s="305" t="str">
        <f>COTAÇÕES!$E$24</f>
        <v>UN</v>
      </c>
      <c r="D160" s="306" t="s">
        <v>758</v>
      </c>
      <c r="E160" s="307" t="s">
        <v>757</v>
      </c>
      <c r="F160" s="308">
        <f>99.66+27.74</f>
        <v>127.39999999999999</v>
      </c>
      <c r="G160" s="309">
        <v>45127</v>
      </c>
    </row>
    <row r="161" spans="1:2" ht="15" customHeight="1">
      <c r="A161" s="301"/>
    </row>
    <row r="162" spans="1:2" ht="15" customHeight="1">
      <c r="A162" s="301"/>
    </row>
    <row r="163" spans="1:2" ht="15" customHeight="1">
      <c r="A163" s="301"/>
    </row>
    <row r="164" spans="1:2" ht="15" customHeight="1">
      <c r="A164" s="301"/>
    </row>
    <row r="165" spans="1:2" ht="15" customHeight="1">
      <c r="A165" s="301"/>
    </row>
    <row r="166" spans="1:2" ht="15" customHeight="1">
      <c r="A166" s="301"/>
    </row>
    <row r="167" spans="1:2" ht="15" customHeight="1">
      <c r="A167" s="301"/>
    </row>
    <row r="168" spans="1:2" ht="15" customHeight="1">
      <c r="A168" s="301"/>
      <c r="B168" s="310"/>
    </row>
    <row r="169" spans="1:2" ht="15" customHeight="1">
      <c r="A169" s="301"/>
    </row>
    <row r="170" spans="1:2" ht="15" customHeight="1">
      <c r="A170" s="301"/>
    </row>
    <row r="171" spans="1:2" ht="15" customHeight="1">
      <c r="A171" s="301"/>
    </row>
    <row r="172" spans="1:2" ht="15" customHeight="1">
      <c r="A172" s="301"/>
    </row>
    <row r="173" spans="1:2" ht="15" customHeight="1">
      <c r="A173" s="301"/>
    </row>
    <row r="174" spans="1:2" ht="15" customHeight="1">
      <c r="A174" s="301"/>
    </row>
    <row r="175" spans="1:2" ht="15" customHeight="1">
      <c r="A175" s="301"/>
    </row>
    <row r="176" spans="1:2" ht="15" customHeight="1">
      <c r="A176" s="301"/>
    </row>
    <row r="177" spans="1:1" ht="15" customHeight="1">
      <c r="A177" s="301"/>
    </row>
    <row r="178" spans="1:1" ht="15" customHeight="1">
      <c r="A178" s="301"/>
    </row>
    <row r="179" spans="1:1" ht="15" customHeight="1">
      <c r="A179" s="301"/>
    </row>
    <row r="180" spans="1:1" ht="15" customHeight="1">
      <c r="A180" s="301"/>
    </row>
    <row r="181" spans="1:1" ht="15" customHeight="1">
      <c r="A181" s="301"/>
    </row>
    <row r="182" spans="1:1" ht="15" customHeight="1">
      <c r="A182" s="301"/>
    </row>
    <row r="183" spans="1:1" ht="15" customHeight="1">
      <c r="A183" s="301"/>
    </row>
    <row r="184" spans="1:1" ht="15" customHeight="1">
      <c r="A184" s="301"/>
    </row>
    <row r="185" spans="1:1" ht="15" customHeight="1">
      <c r="A185" s="301"/>
    </row>
    <row r="186" spans="1:1" ht="15" customHeight="1">
      <c r="A186" s="301"/>
    </row>
    <row r="187" spans="1:1" ht="15" customHeight="1">
      <c r="A187" s="301"/>
    </row>
    <row r="188" spans="1:1" ht="15" customHeight="1">
      <c r="A188" s="301"/>
    </row>
    <row r="189" spans="1:1" ht="15" customHeight="1">
      <c r="A189" s="301"/>
    </row>
    <row r="190" spans="1:1" ht="15" customHeight="1">
      <c r="A190" s="301"/>
    </row>
    <row r="191" spans="1:1" ht="15" customHeight="1">
      <c r="A191" s="301"/>
    </row>
    <row r="192" spans="1:1" ht="15" customHeight="1">
      <c r="A192" s="301"/>
    </row>
    <row r="197" spans="1:7" ht="15" customHeight="1">
      <c r="A197" s="302" t="s">
        <v>741</v>
      </c>
      <c r="B197" s="302" t="s">
        <v>742</v>
      </c>
      <c r="C197" s="302" t="s">
        <v>492</v>
      </c>
      <c r="D197" s="302" t="s">
        <v>677</v>
      </c>
      <c r="E197" s="302" t="s">
        <v>743</v>
      </c>
      <c r="F197" s="302" t="s">
        <v>680</v>
      </c>
      <c r="G197" s="302" t="s">
        <v>744</v>
      </c>
    </row>
    <row r="198" spans="1:7" ht="60">
      <c r="A198" s="303" t="str">
        <f>COTAÇÕES!$A$24</f>
        <v>COTAÇÃO 03</v>
      </c>
      <c r="B198" s="304" t="str">
        <f>COTAÇÕES!$C$24</f>
        <v>Refletor Led 200W Branco Frio Bivolt Prova Dágua Ip67</v>
      </c>
      <c r="C198" s="305" t="str">
        <f>COTAÇÕES!$E$24</f>
        <v>UN</v>
      </c>
      <c r="D198" s="306" t="str">
        <f>COTAÇÕES!A29</f>
        <v>DIGITAL LED LTDA</v>
      </c>
      <c r="E198" s="307" t="str">
        <f>COTAÇÕES!F29</f>
        <v>https://www.digitalled.com.br/refletores-de-led/refletor-200w-led-smd-branco-frio-ip66?parceiro=5222&amp;gclid=Cj0KCQjwhqaVBhCxARIsAHK1tiO1ra1grkmngxsEDKBR79L1UB3UV6Wz9kHXHviHao_Hwgb-4p1h5LIaAjSWEALw_wcB</v>
      </c>
      <c r="F198" s="308">
        <f>159.99+27.11</f>
        <v>187.10000000000002</v>
      </c>
      <c r="G198" s="309">
        <v>45127</v>
      </c>
    </row>
    <row r="199" spans="1:7" ht="15" customHeight="1">
      <c r="A199" s="301"/>
    </row>
    <row r="200" spans="1:7" ht="15" customHeight="1">
      <c r="A200" s="301"/>
    </row>
    <row r="201" spans="1:7" ht="15" customHeight="1">
      <c r="A201" s="301"/>
    </row>
    <row r="202" spans="1:7" ht="15" customHeight="1">
      <c r="A202" s="301"/>
    </row>
    <row r="203" spans="1:7" ht="15" customHeight="1">
      <c r="A203" s="301"/>
    </row>
    <row r="204" spans="1:7" ht="15" customHeight="1">
      <c r="A204" s="301"/>
    </row>
    <row r="205" spans="1:7" ht="15" customHeight="1">
      <c r="A205" s="301"/>
    </row>
    <row r="206" spans="1:7" ht="15" customHeight="1">
      <c r="A206" s="301"/>
      <c r="B206" s="310"/>
    </row>
    <row r="207" spans="1:7" ht="15" customHeight="1">
      <c r="A207" s="301"/>
    </row>
    <row r="208" spans="1:7" ht="15" customHeight="1">
      <c r="A208" s="301"/>
    </row>
    <row r="209" spans="1:1" ht="15" customHeight="1">
      <c r="A209" s="301"/>
    </row>
    <row r="210" spans="1:1" ht="15" customHeight="1">
      <c r="A210" s="301"/>
    </row>
    <row r="211" spans="1:1" ht="15" customHeight="1">
      <c r="A211" s="301"/>
    </row>
    <row r="212" spans="1:1" ht="15" customHeight="1">
      <c r="A212" s="301"/>
    </row>
    <row r="213" spans="1:1" ht="15" customHeight="1">
      <c r="A213" s="301"/>
    </row>
    <row r="214" spans="1:1" ht="15" customHeight="1">
      <c r="A214" s="301"/>
    </row>
    <row r="215" spans="1:1" ht="15" customHeight="1">
      <c r="A215" s="301"/>
    </row>
    <row r="216" spans="1:1" ht="15" customHeight="1">
      <c r="A216" s="301"/>
    </row>
    <row r="217" spans="1:1" ht="15" customHeight="1">
      <c r="A217" s="301"/>
    </row>
    <row r="218" spans="1:1" ht="15" customHeight="1">
      <c r="A218" s="301"/>
    </row>
    <row r="219" spans="1:1" ht="15" customHeight="1">
      <c r="A219" s="301"/>
    </row>
    <row r="220" spans="1:1" ht="15" customHeight="1">
      <c r="A220" s="301"/>
    </row>
    <row r="221" spans="1:1" ht="15" customHeight="1">
      <c r="A221" s="301"/>
    </row>
    <row r="222" spans="1:1" ht="15" customHeight="1">
      <c r="A222" s="301"/>
    </row>
    <row r="223" spans="1:1" ht="15" customHeight="1">
      <c r="A223" s="301"/>
    </row>
    <row r="224" spans="1:1" ht="15" customHeight="1">
      <c r="A224" s="301"/>
    </row>
    <row r="225" spans="1:1" ht="15" customHeight="1">
      <c r="A225" s="301"/>
    </row>
    <row r="226" spans="1:1" ht="15" customHeight="1">
      <c r="A226" s="301"/>
    </row>
    <row r="227" spans="1:1" ht="15" customHeight="1">
      <c r="A227" s="301"/>
    </row>
    <row r="228" spans="1:1" ht="15" customHeight="1">
      <c r="A228" s="301"/>
    </row>
    <row r="229" spans="1:1" ht="15" customHeight="1">
      <c r="A229" s="301"/>
    </row>
    <row r="230" spans="1:1" ht="15" customHeight="1">
      <c r="A230" s="301"/>
    </row>
    <row r="231" spans="1:1" ht="15" customHeight="1">
      <c r="A231" s="301"/>
    </row>
    <row r="232" spans="1:1" ht="15" customHeight="1">
      <c r="A232" s="301"/>
    </row>
    <row r="233" spans="1:1" ht="15" customHeight="1">
      <c r="A233" s="301"/>
    </row>
    <row r="234" spans="1:1" ht="15" customHeight="1">
      <c r="A234" s="301"/>
    </row>
    <row r="235" spans="1:1" ht="15" customHeight="1">
      <c r="A235" s="301"/>
    </row>
    <row r="241" spans="1:7" ht="15" customHeight="1">
      <c r="A241" s="302" t="s">
        <v>741</v>
      </c>
      <c r="B241" s="302" t="s">
        <v>742</v>
      </c>
      <c r="C241" s="302" t="s">
        <v>492</v>
      </c>
      <c r="D241" s="302" t="s">
        <v>677</v>
      </c>
      <c r="E241" s="302" t="s">
        <v>743</v>
      </c>
      <c r="F241" s="302" t="s">
        <v>680</v>
      </c>
      <c r="G241" s="302" t="s">
        <v>744</v>
      </c>
    </row>
    <row r="242" spans="1:7" ht="75">
      <c r="A242" s="303" t="str">
        <f>COTAÇÕES!$A$40</f>
        <v>COTAÇÃO 07</v>
      </c>
      <c r="B242" s="304" t="str">
        <f>COTAÇÕES!$C$40</f>
        <v>AccessPoint</v>
      </c>
      <c r="C242" s="305" t="str">
        <f>COTAÇÕES!$E$40</f>
        <v>un</v>
      </c>
      <c r="D242" s="306" t="s">
        <v>761</v>
      </c>
      <c r="E242" s="307" t="s">
        <v>762</v>
      </c>
      <c r="F242" s="308">
        <f>359.01+41.82</f>
        <v>400.83</v>
      </c>
      <c r="G242" s="309">
        <v>45127</v>
      </c>
    </row>
    <row r="243" spans="1:7" ht="15" customHeight="1">
      <c r="A243" s="301"/>
    </row>
    <row r="244" spans="1:7" ht="15" customHeight="1">
      <c r="A244" s="301"/>
    </row>
    <row r="245" spans="1:7" ht="15" customHeight="1">
      <c r="A245" s="301"/>
    </row>
    <row r="246" spans="1:7" ht="15" customHeight="1">
      <c r="A246" s="301"/>
    </row>
    <row r="247" spans="1:7" ht="15" customHeight="1">
      <c r="A247" s="301"/>
    </row>
    <row r="248" spans="1:7" ht="15" customHeight="1">
      <c r="A248" s="301"/>
    </row>
    <row r="249" spans="1:7" ht="15" customHeight="1">
      <c r="A249" s="301"/>
    </row>
    <row r="250" spans="1:7" ht="15" customHeight="1">
      <c r="A250" s="301"/>
      <c r="B250" s="310"/>
    </row>
    <row r="251" spans="1:7" ht="15" customHeight="1">
      <c r="A251" s="301"/>
    </row>
    <row r="252" spans="1:7" ht="15" customHeight="1">
      <c r="A252" s="301"/>
    </row>
    <row r="253" spans="1:7" ht="15" customHeight="1">
      <c r="A253" s="301"/>
    </row>
    <row r="254" spans="1:7" ht="15" customHeight="1">
      <c r="A254" s="301"/>
    </row>
    <row r="255" spans="1:7" ht="15" customHeight="1">
      <c r="A255" s="301"/>
    </row>
    <row r="256" spans="1:7" ht="15" customHeight="1">
      <c r="A256" s="301"/>
    </row>
    <row r="257" spans="1:1" ht="15" customHeight="1">
      <c r="A257" s="301"/>
    </row>
    <row r="258" spans="1:1" ht="15" customHeight="1">
      <c r="A258" s="301"/>
    </row>
    <row r="259" spans="1:1" ht="15" customHeight="1">
      <c r="A259" s="301"/>
    </row>
    <row r="260" spans="1:1" ht="15" customHeight="1">
      <c r="A260" s="301"/>
    </row>
    <row r="261" spans="1:1" ht="15" customHeight="1">
      <c r="A261" s="301"/>
    </row>
    <row r="262" spans="1:1" ht="15" customHeight="1">
      <c r="A262" s="301"/>
    </row>
    <row r="263" spans="1:1" ht="15" customHeight="1">
      <c r="A263" s="301"/>
    </row>
    <row r="264" spans="1:1" ht="15" customHeight="1">
      <c r="A264" s="301"/>
    </row>
    <row r="265" spans="1:1" ht="15" customHeight="1">
      <c r="A265" s="301"/>
    </row>
    <row r="266" spans="1:1" ht="15" customHeight="1">
      <c r="A266" s="301"/>
    </row>
    <row r="267" spans="1:1" ht="15" customHeight="1">
      <c r="A267" s="301"/>
    </row>
    <row r="268" spans="1:1" ht="15" customHeight="1">
      <c r="A268" s="301"/>
    </row>
    <row r="269" spans="1:1" ht="15" customHeight="1">
      <c r="A269" s="301"/>
    </row>
    <row r="270" spans="1:1" ht="15" customHeight="1">
      <c r="A270" s="301"/>
    </row>
    <row r="271" spans="1:1" ht="15" customHeight="1">
      <c r="A271" s="301"/>
    </row>
    <row r="272" spans="1:1" ht="15" customHeight="1">
      <c r="A272" s="301"/>
    </row>
    <row r="273" spans="1:7" ht="15" customHeight="1">
      <c r="A273" s="301"/>
    </row>
    <row r="278" spans="1:7" ht="15" customHeight="1">
      <c r="A278" s="302" t="s">
        <v>741</v>
      </c>
      <c r="B278" s="302" t="s">
        <v>742</v>
      </c>
      <c r="C278" s="302" t="s">
        <v>492</v>
      </c>
      <c r="D278" s="302" t="s">
        <v>677</v>
      </c>
      <c r="E278" s="302" t="s">
        <v>743</v>
      </c>
      <c r="F278" s="302" t="s">
        <v>680</v>
      </c>
      <c r="G278" s="302" t="s">
        <v>744</v>
      </c>
    </row>
    <row r="279" spans="1:7" ht="90">
      <c r="A279" s="303" t="str">
        <f>COTAÇÕES!$A$40</f>
        <v>COTAÇÃO 07</v>
      </c>
      <c r="B279" s="304" t="str">
        <f>COTAÇÕES!$C$40</f>
        <v>AccessPoint</v>
      </c>
      <c r="C279" s="305" t="str">
        <f>COTAÇÕES!$E$40</f>
        <v>un</v>
      </c>
      <c r="D279" s="306" t="s">
        <v>751</v>
      </c>
      <c r="E279" s="307" t="s">
        <v>747</v>
      </c>
      <c r="F279" s="308">
        <f>346.42</f>
        <v>346.42</v>
      </c>
      <c r="G279" s="309">
        <v>45127</v>
      </c>
    </row>
    <row r="280" spans="1:7" ht="15" customHeight="1">
      <c r="A280" s="301"/>
    </row>
    <row r="281" spans="1:7" ht="15" customHeight="1">
      <c r="A281" s="301"/>
    </row>
    <row r="282" spans="1:7" ht="15" customHeight="1">
      <c r="A282" s="301"/>
    </row>
    <row r="283" spans="1:7" ht="15" customHeight="1">
      <c r="A283" s="301"/>
    </row>
    <row r="284" spans="1:7" ht="15" customHeight="1">
      <c r="A284" s="301"/>
    </row>
    <row r="285" spans="1:7" ht="15" customHeight="1">
      <c r="A285" s="301"/>
    </row>
    <row r="286" spans="1:7" ht="15" customHeight="1">
      <c r="A286" s="301"/>
    </row>
    <row r="287" spans="1:7" ht="15" customHeight="1">
      <c r="A287" s="301"/>
      <c r="B287" s="310"/>
    </row>
    <row r="288" spans="1:7" ht="15" customHeight="1">
      <c r="A288" s="301"/>
      <c r="B288" s="310"/>
    </row>
    <row r="289" spans="1:2" ht="15" customHeight="1">
      <c r="A289" s="301"/>
      <c r="B289" s="310"/>
    </row>
    <row r="290" spans="1:2" ht="15" customHeight="1">
      <c r="A290" s="301"/>
      <c r="B290" s="310"/>
    </row>
    <row r="291" spans="1:2" ht="15" customHeight="1">
      <c r="A291" s="301"/>
      <c r="B291" s="310"/>
    </row>
    <row r="292" spans="1:2" ht="15" customHeight="1">
      <c r="A292" s="301"/>
      <c r="B292" s="310"/>
    </row>
    <row r="293" spans="1:2" ht="15" customHeight="1">
      <c r="A293" s="301"/>
      <c r="B293" s="310"/>
    </row>
    <row r="294" spans="1:2" ht="15" customHeight="1">
      <c r="A294" s="301"/>
      <c r="B294" s="310"/>
    </row>
    <row r="295" spans="1:2" ht="15" customHeight="1">
      <c r="A295" s="301"/>
    </row>
    <row r="296" spans="1:2" ht="15" customHeight="1">
      <c r="A296" s="301"/>
    </row>
    <row r="297" spans="1:2" ht="15" customHeight="1">
      <c r="A297" s="301"/>
    </row>
    <row r="298" spans="1:2" ht="15" customHeight="1">
      <c r="A298" s="301"/>
    </row>
    <row r="299" spans="1:2" ht="15" customHeight="1">
      <c r="A299" s="301"/>
    </row>
    <row r="300" spans="1:2" ht="15" customHeight="1">
      <c r="A300" s="301"/>
    </row>
    <row r="301" spans="1:2" ht="15" customHeight="1">
      <c r="A301" s="301"/>
    </row>
    <row r="302" spans="1:2" ht="15" customHeight="1">
      <c r="A302" s="301"/>
    </row>
    <row r="303" spans="1:2" ht="15" customHeight="1">
      <c r="A303" s="301"/>
    </row>
    <row r="304" spans="1:2" ht="15" customHeight="1">
      <c r="A304" s="301"/>
    </row>
    <row r="305" spans="1:7" ht="15" customHeight="1">
      <c r="A305" s="301"/>
    </row>
    <row r="306" spans="1:7" ht="15" customHeight="1">
      <c r="A306" s="301"/>
    </row>
    <row r="307" spans="1:7" ht="15" customHeight="1">
      <c r="A307" s="301"/>
    </row>
    <row r="308" spans="1:7" ht="15" customHeight="1">
      <c r="A308" s="301"/>
    </row>
    <row r="309" spans="1:7" ht="15" customHeight="1">
      <c r="A309" s="301"/>
    </row>
    <row r="310" spans="1:7" ht="15" customHeight="1">
      <c r="A310" s="301"/>
    </row>
    <row r="315" spans="1:7" ht="15" customHeight="1">
      <c r="A315" s="302" t="s">
        <v>741</v>
      </c>
      <c r="B315" s="302" t="s">
        <v>742</v>
      </c>
      <c r="C315" s="302" t="s">
        <v>492</v>
      </c>
      <c r="D315" s="302" t="s">
        <v>677</v>
      </c>
      <c r="E315" s="302" t="s">
        <v>743</v>
      </c>
      <c r="F315" s="302" t="s">
        <v>680</v>
      </c>
      <c r="G315" s="302" t="s">
        <v>744</v>
      </c>
    </row>
    <row r="316" spans="1:7" ht="75">
      <c r="A316" s="303" t="str">
        <f>COTAÇÕES!$A$40</f>
        <v>COTAÇÃO 07</v>
      </c>
      <c r="B316" s="304" t="str">
        <f>COTAÇÕES!$C$40</f>
        <v>AccessPoint</v>
      </c>
      <c r="C316" s="305" t="str">
        <f>COTAÇÕES!$E$40</f>
        <v>un</v>
      </c>
      <c r="D316" s="306" t="s">
        <v>745</v>
      </c>
      <c r="E316" s="307" t="s">
        <v>746</v>
      </c>
      <c r="F316" s="308">
        <v>344.09</v>
      </c>
      <c r="G316" s="309">
        <v>45127</v>
      </c>
    </row>
    <row r="317" spans="1:7" ht="15" customHeight="1">
      <c r="A317" s="301"/>
    </row>
    <row r="318" spans="1:7" ht="15" customHeight="1">
      <c r="A318" s="301"/>
    </row>
    <row r="319" spans="1:7" ht="15" customHeight="1">
      <c r="A319" s="301"/>
    </row>
    <row r="320" spans="1:7" ht="15" customHeight="1">
      <c r="A320" s="301"/>
    </row>
    <row r="321" spans="1:2" ht="15" customHeight="1">
      <c r="A321" s="301"/>
    </row>
    <row r="322" spans="1:2" ht="15" customHeight="1">
      <c r="A322" s="301"/>
    </row>
    <row r="323" spans="1:2" ht="15" customHeight="1">
      <c r="A323" s="301"/>
    </row>
    <row r="324" spans="1:2" ht="15" customHeight="1">
      <c r="A324" s="301"/>
      <c r="B324" s="310"/>
    </row>
    <row r="325" spans="1:2" ht="15" customHeight="1">
      <c r="A325" s="301"/>
    </row>
    <row r="326" spans="1:2" ht="15" customHeight="1">
      <c r="A326" s="301"/>
    </row>
    <row r="327" spans="1:2" ht="15" customHeight="1">
      <c r="A327" s="301"/>
    </row>
    <row r="328" spans="1:2" ht="15" customHeight="1">
      <c r="A328" s="301"/>
    </row>
    <row r="329" spans="1:2" ht="15" customHeight="1">
      <c r="A329" s="301"/>
    </row>
    <row r="330" spans="1:2" ht="15" customHeight="1">
      <c r="A330" s="301"/>
    </row>
    <row r="331" spans="1:2" ht="15" customHeight="1">
      <c r="A331" s="301"/>
    </row>
    <row r="332" spans="1:2" ht="15" customHeight="1">
      <c r="A332" s="301"/>
    </row>
    <row r="333" spans="1:2" ht="15" customHeight="1">
      <c r="A333" s="301"/>
    </row>
    <row r="334" spans="1:2" ht="15" customHeight="1">
      <c r="A334" s="301"/>
    </row>
    <row r="335" spans="1:2" ht="15" customHeight="1">
      <c r="A335" s="301"/>
    </row>
    <row r="336" spans="1:2" ht="15" customHeight="1">
      <c r="A336" s="301"/>
    </row>
    <row r="337" spans="1:1" ht="15" customHeight="1">
      <c r="A337" s="301"/>
    </row>
  </sheetData>
  <mergeCells count="1">
    <mergeCell ref="A1:G1"/>
  </mergeCells>
  <hyperlinks>
    <hyperlink ref="E3" r:id="rId1" xr:uid="{F33135FE-CDF5-4BD7-8F4A-D3113241603D}"/>
    <hyperlink ref="E40" r:id="rId2" display="https://www.magazineluiza.com.br/holofote-refletor-400w-de-led-linear-torre-ip68-branco-bivolt-led-ecologia/p/je8bc29f00/cj/rftr/?seller_id=pjiluminacao&amp;utm_source=google&amp;utm_medium=pla&amp;utm_campaign=&amp;partner_id=69579&amp;gclid=CjwKCAjwkaSaBhA4EiwALBgQaHbPJdyMiLMPOXRBEQ6AudJfCvENcsUP7BrLUHbqWwnD7V_j7U1wQRoCo5UQAvD_BwE&amp;gclsrc=aw.ds" xr:uid="{7DA81147-7166-4979-916C-8FEE25DA2C5B}"/>
    <hyperlink ref="E74" r:id="rId3" xr:uid="{2E1A84B4-1FAF-470D-9432-EC7D5C2BFB3C}"/>
    <hyperlink ref="E119" r:id="rId4" xr:uid="{885FF748-8A08-4850-A114-EB5642FEAA56}"/>
    <hyperlink ref="E160" r:id="rId5" display="https://www.arcoirisled.com.br/refletor-led-mini-floodlight-200w-branco-frio-ip67-82930?utm_source=Site&amp;utm_medium=GoogleMerchant&amp;utm_campaign=GoogleMerchant&amp;gad=1&amp;gclid=CjwKCAjwtuOlBhBREiwA7agf1o1UP8pT6l0uoH9vFLRYt9T9pMZcQWH5S-tkjIS8mCsWn3H-HeeHThoCbQUQAvD_BwE" xr:uid="{FB026C20-420B-4DB4-BCAA-E2C1B83B0C7D}"/>
    <hyperlink ref="E242" r:id="rId6" display="https://www.upperseg.com.br/informatica/roteadores-wireless/roteadores/access-point-corporativo-roteador-wireless-com-gerenciamento-centralizado-ap-310-intelbras/?gclid=CjwKCAjwtuOlBhBREiwA7agf1t5h9E3azJR0BgvOwphWX4RV9D5Gk8ieH08G7tRcngPlgTFdV5VSIhoCBUoQAvD_BwE" xr:uid="{0F713EE6-9A5F-41C2-A4DE-F58B8018505E}"/>
    <hyperlink ref="E279" r:id="rId7" display="https://www.magazineluiza.com.br/access-point-corporativo-300mbps-ap-310-bivolt-auto-modelo-4750008-intelbras/p/abg05k245b/in/sspt/?seller_id=mirandacomputacao&amp;utm_source=google&amp;utm_medium=pla&amp;utm_campaign=&amp;partner_id=65409&amp;gclid=CjwKCAjw_ISWBhBkEiwAdqxb9rtALjYVAc2nUC04sjKUvcVYJC7n8lJ9llk78nN52ZYv4XgCC7GA3hoCuxsQAvD_BwE&amp;gclsrc=aw.ds" xr:uid="{95E52EDC-5CE6-404F-A2AA-982FA47FDA15}"/>
    <hyperlink ref="E316" r:id="rId8" display="https://www.amazon.com.br/Access-Corporativo-Intelbras-Roteadores-Branca/dp/B077V83M34/ref=asc_df_B077V83M34/?tag=googleshopp00-20&amp;linkCode=df0&amp;hvadid=379817877038&amp;hvpos=&amp;hvnetw=g&amp;hvrand=13058979084620637979&amp;hvpone=&amp;hvptwo=&amp;hvqmt=&amp;hvdev=c&amp;hvdvcmdl=&amp;hvlocint=&amp;hvlocphy=1001544&amp;hvtargid=pla-811830116098&amp;psc=1" xr:uid="{A6DDC523-AA9D-43A2-ACD4-5D1FB1A25275}"/>
  </hyperlinks>
  <pageMargins left="0.51181102362204722" right="0.51181102362204722" top="0.78740157480314965" bottom="0.78740157480314965" header="0.31496062992125984" footer="0.31496062992125984"/>
  <pageSetup paperSize="9" scale="55" fitToHeight="0" orientation="portrait" r:id="rId9"/>
  <rowBreaks count="4" manualBreakCount="4">
    <brk id="72" max="16383" man="1"/>
    <brk id="117" max="16383" man="1"/>
    <brk id="196" max="6" man="1"/>
    <brk id="277" max="16383" man="1"/>
  </rowBreaks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16</vt:i4>
      </vt:variant>
    </vt:vector>
  </HeadingPairs>
  <TitlesOfParts>
    <vt:vector size="25" baseType="lpstr">
      <vt:lpstr>PLANILHA ORÇAMENTARIA</vt:lpstr>
      <vt:lpstr>MEMORIA DE CALCULO</vt:lpstr>
      <vt:lpstr>CRONOGRAMA</vt:lpstr>
      <vt:lpstr>CRONOGRAMA REFORMA</vt:lpstr>
      <vt:lpstr>COMPOSICOES</vt:lpstr>
      <vt:lpstr>BDI</vt:lpstr>
      <vt:lpstr>BDI DIFERENCIADO</vt:lpstr>
      <vt:lpstr>COTAÇÕES</vt:lpstr>
      <vt:lpstr>COT-AUX</vt:lpstr>
      <vt:lpstr>BDI!Area_de_impressao</vt:lpstr>
      <vt:lpstr>'BDI DIFERENCIADO'!Area_de_impressao</vt:lpstr>
      <vt:lpstr>COMPOSICOES!Area_de_impressao</vt:lpstr>
      <vt:lpstr>'COT-AUX'!Area_de_impressao</vt:lpstr>
      <vt:lpstr>CRONOGRAMA!Area_de_impressao</vt:lpstr>
      <vt:lpstr>'CRONOGRAMA REFORMA'!Area_de_impressao</vt:lpstr>
      <vt:lpstr>'MEMORIA DE CALCULO'!Area_de_impressao</vt:lpstr>
      <vt:lpstr>'PLANILHA ORÇAMENTARIA'!Area_de_impressao</vt:lpstr>
      <vt:lpstr>'BDI DIFERENCIADO'!BDI</vt:lpstr>
      <vt:lpstr>BDI</vt:lpstr>
      <vt:lpstr>COMPOSICOES!Titulos_de_impressao</vt:lpstr>
      <vt:lpstr>'COT-AUX'!Titulos_de_impressao</vt:lpstr>
      <vt:lpstr>CRONOGRAMA!Titulos_de_impressao</vt:lpstr>
      <vt:lpstr>'CRONOGRAMA REFORMA'!Titulos_de_impressao</vt:lpstr>
      <vt:lpstr>'MEMORIA DE CALCULO'!Titulos_de_impressao</vt:lpstr>
      <vt:lpstr>'PLANILHA ORÇAMENTARIA'!Titulos_de_impressao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2017-06-07T15:11:31Z</dcterms:created>
  <dcterms:modified xsi:type="dcterms:W3CDTF">2023-07-25T19:19:01Z</dcterms:modified>
</cp:coreProperties>
</file>