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NGENHARIA\TECSYSTEM\COLATINA\PROSPECÇÃO\R03\"/>
    </mc:Choice>
  </mc:AlternateContent>
  <xr:revisionPtr revIDLastSave="0" documentId="8_{98B9DFA5-5647-4F95-84D8-0FB8BE8513EE}" xr6:coauthVersionLast="47" xr6:coauthVersionMax="47" xr10:uidLastSave="{00000000-0000-0000-0000-000000000000}"/>
  <bookViews>
    <workbookView xWindow="28680" yWindow="-120" windowWidth="29040" windowHeight="15720" tabRatio="854" xr2:uid="{00000000-000D-0000-FFFF-FFFF00000000}"/>
  </bookViews>
  <sheets>
    <sheet name="Planilha Orçamentária" sheetId="1" r:id="rId1"/>
    <sheet name="Memória de Cálculo" sheetId="39" r:id="rId2"/>
    <sheet name="Apoio ao Cronograma" sheetId="47" r:id="rId3"/>
    <sheet name="Cronograma" sheetId="11" r:id="rId4"/>
    <sheet name="CPU_Serviços" sheetId="34" r:id="rId5"/>
    <sheet name="FATOR_K" sheetId="33" r:id="rId6"/>
    <sheet name="K2 (ADM_LOCAL)" sheetId="32" r:id="rId7"/>
    <sheet name="K2_CPU" sheetId="31" r:id="rId8"/>
    <sheet name="CPU-Insumos_MO" sheetId="14" r:id="rId9"/>
    <sheet name="CPU-Insumos_DD" sheetId="15" r:id="rId10"/>
    <sheet name="Cotação de Mercado" sheetId="17" r:id="rId11"/>
    <sheet name="K2_Insumos-Escrit." sheetId="18" r:id="rId12"/>
    <sheet name="K2_Insumos-Escrit. - Deprec." sheetId="19" r:id="rId13"/>
    <sheet name="K2_Insumos-Limp." sheetId="21" r:id="rId14"/>
    <sheet name="MC_CPU-K2-01" sheetId="44" r:id="rId15"/>
    <sheet name="K2_Insumos-Adm" sheetId="20" r:id="rId16"/>
    <sheet name="K2_Insumos-Café" sheetId="22" r:id="rId17"/>
    <sheet name="MC_CPU-K2-02" sheetId="45" r:id="rId18"/>
    <sheet name="MC_CPU.001" sheetId="23" r:id="rId19"/>
    <sheet name="MC_CPU.002" sheetId="24" r:id="rId20"/>
    <sheet name="MC_CPU.003" sheetId="25" r:id="rId21"/>
    <sheet name="MC_CPU.004" sheetId="26" r:id="rId22"/>
    <sheet name="MC_CPU.005" sheetId="27" r:id="rId23"/>
    <sheet name="MC_CPU.005A" sheetId="46" r:id="rId24"/>
    <sheet name="MC_CPU.006" sheetId="28" r:id="rId25"/>
    <sheet name="MC_CPU.007" sheetId="29" r:id="rId26"/>
    <sheet name="MC_CPU.008" sheetId="30" r:id="rId27"/>
    <sheet name="MC_CPU.009" sheetId="36" r:id="rId28"/>
    <sheet name="MC_CPU.010" sheetId="37" r:id="rId29"/>
    <sheet name="MC_CPU.011" sheetId="42" r:id="rId30"/>
    <sheet name="MC_CPU.012" sheetId="43" r:id="rId31"/>
  </sheets>
  <definedNames>
    <definedName name="_xlnm.Print_Area" localSheetId="10">'Cotação de Mercado'!$A$1:$H$14</definedName>
    <definedName name="_xlnm.Print_Area" localSheetId="4">CPU_Serviços!$A$1:$G$277</definedName>
    <definedName name="_xlnm.Print_Area" localSheetId="9">'CPU-Insumos_DD'!$A$1:$F$21</definedName>
    <definedName name="_xlnm.Print_Area" localSheetId="8">'CPU-Insumos_MO'!$A$1:$H$32</definedName>
    <definedName name="_xlnm.Print_Area" localSheetId="3">Cronograma!$A$1:$BL$52</definedName>
    <definedName name="_xlnm.Print_Area" localSheetId="5">FATOR_K!$A$1:$I$40</definedName>
    <definedName name="_xlnm.Print_Area" localSheetId="6">'K2 (ADM_LOCAL)'!$A$1:$H$46</definedName>
    <definedName name="_xlnm.Print_Area" localSheetId="7">K2_CPU!$A$1:$G$75</definedName>
    <definedName name="_xlnm.Print_Area" localSheetId="15">'K2_Insumos-Adm'!$A$1:$H$25</definedName>
    <definedName name="_xlnm.Print_Area" localSheetId="16">'K2_Insumos-Café'!$A$1:$L$13</definedName>
    <definedName name="_xlnm.Print_Area" localSheetId="11">'K2_Insumos-Escrit.'!$A$1:$K$70</definedName>
    <definedName name="_xlnm.Print_Area" localSheetId="12">'K2_Insumos-Escrit. - Deprec.'!$A$1:$G$23</definedName>
    <definedName name="_xlnm.Print_Area" localSheetId="13">'K2_Insumos-Limp.'!$A$1:$J$20</definedName>
    <definedName name="_xlnm.Print_Area" localSheetId="18">MC_CPU.001!$A$1:$D$18</definedName>
    <definedName name="_xlnm.Print_Area" localSheetId="19">MC_CPU.002!$A$1:$D$19</definedName>
    <definedName name="_xlnm.Print_Area" localSheetId="20">MC_CPU.003!$A$1:$D$19</definedName>
    <definedName name="_xlnm.Print_Area" localSheetId="21">MC_CPU.004!$A$1:$E$37</definedName>
    <definedName name="_xlnm.Print_Area" localSheetId="22">MC_CPU.005!$A$1:$D$16</definedName>
    <definedName name="_xlnm.Print_Area" localSheetId="23">MC_CPU.005A!$A$1:$D$11</definedName>
    <definedName name="_xlnm.Print_Area" localSheetId="24">MC_CPU.006!$A$1:$D$11</definedName>
    <definedName name="_xlnm.Print_Area" localSheetId="25">MC_CPU.007!$A$1:$D$11</definedName>
    <definedName name="_xlnm.Print_Area" localSheetId="26">MC_CPU.008!$A$1:$E$13</definedName>
    <definedName name="_xlnm.Print_Area" localSheetId="27">MC_CPU.009!$A$1:$E$13</definedName>
    <definedName name="_xlnm.Print_Area" localSheetId="28">MC_CPU.010!$A$1:$E$15</definedName>
    <definedName name="_xlnm.Print_Area" localSheetId="29">MC_CPU.011!$A$1:$E$8</definedName>
    <definedName name="_xlnm.Print_Area" localSheetId="30">MC_CPU.012!$A$1:$E$9</definedName>
    <definedName name="_xlnm.Print_Area" localSheetId="14">'MC_CPU-K2-01'!$A$1:$D$42</definedName>
    <definedName name="_xlnm.Print_Area" localSheetId="17">'MC_CPU-K2-02'!$A$1:$D$72</definedName>
    <definedName name="_xlnm.Print_Area" localSheetId="1">'Memória de Cálculo'!$A$1:$F$368</definedName>
    <definedName name="_xlnm.Print_Area" localSheetId="0">'Planilha Orçamentária'!$A$1:$I$22</definedName>
    <definedName name="_xlnm.Print_Titles" localSheetId="4">CPU_Serviços!$1:$5</definedName>
    <definedName name="_xlnm.Print_Titles" localSheetId="3">Cronograma!$A:$D,Cronograma!$1:$6</definedName>
    <definedName name="_xlnm.Print_Titles" localSheetId="7">K2_CPU!$1:$5</definedName>
    <definedName name="_xlnm.Print_Titles" localSheetId="15">'K2_Insumos-Adm'!$1:$5</definedName>
    <definedName name="_xlnm.Print_Titles" localSheetId="11">'K2_Insumos-Escrit.'!$1:$5</definedName>
    <definedName name="_xlnm.Print_Titles" localSheetId="1">'Memória de Cálculo'!$1:$4</definedName>
    <definedName name="_xlnm.Print_Titles" localSheetId="0">'Planilha Orçamentária'!$4:$5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8" l="1"/>
  <c r="G9" i="18"/>
  <c r="G10" i="18"/>
  <c r="G11" i="18"/>
  <c r="G14" i="18"/>
  <c r="G15" i="18"/>
  <c r="G16" i="18"/>
  <c r="G17" i="18"/>
  <c r="G20" i="18"/>
  <c r="G21" i="18"/>
  <c r="G22" i="18"/>
  <c r="G25" i="18"/>
  <c r="G26" i="18"/>
  <c r="G27" i="18"/>
  <c r="G30" i="18"/>
  <c r="G31" i="18"/>
  <c r="G32" i="18"/>
  <c r="G35" i="18"/>
  <c r="G36" i="18"/>
  <c r="G37" i="18"/>
  <c r="G40" i="18"/>
  <c r="G41" i="18"/>
  <c r="G42" i="18"/>
  <c r="G45" i="18"/>
  <c r="G46" i="18"/>
  <c r="G47" i="18"/>
  <c r="G57" i="18"/>
  <c r="G58" i="18"/>
  <c r="G59" i="18"/>
  <c r="G62" i="18"/>
  <c r="G63" i="18"/>
  <c r="G64" i="18"/>
  <c r="G67" i="18"/>
  <c r="G68" i="18"/>
  <c r="G69" i="18"/>
  <c r="D8" i="21"/>
  <c r="E8" i="21"/>
  <c r="F8" i="21"/>
  <c r="G8" i="21"/>
  <c r="H8" i="21"/>
  <c r="I8" i="21"/>
  <c r="D9" i="21"/>
  <c r="E9" i="21"/>
  <c r="F9" i="21"/>
  <c r="G9" i="21"/>
  <c r="H9" i="21"/>
  <c r="I9" i="21"/>
  <c r="D10" i="21"/>
  <c r="E10" i="21"/>
  <c r="F10" i="21"/>
  <c r="G10" i="21"/>
  <c r="H10" i="21"/>
  <c r="I10" i="21"/>
  <c r="D11" i="21"/>
  <c r="E11" i="21"/>
  <c r="F11" i="21"/>
  <c r="G11" i="21"/>
  <c r="H11" i="21"/>
  <c r="I11" i="21"/>
  <c r="D12" i="21"/>
  <c r="E12" i="21"/>
  <c r="F12" i="21"/>
  <c r="G12" i="21"/>
  <c r="H12" i="21"/>
  <c r="I12" i="21"/>
  <c r="D13" i="21"/>
  <c r="E13" i="21"/>
  <c r="F13" i="21"/>
  <c r="G13" i="21"/>
  <c r="H13" i="21"/>
  <c r="I13" i="21"/>
  <c r="D14" i="21"/>
  <c r="E14" i="21"/>
  <c r="F14" i="21"/>
  <c r="G14" i="21"/>
  <c r="H14" i="21"/>
  <c r="I14" i="21"/>
  <c r="D15" i="21"/>
  <c r="E15" i="21"/>
  <c r="F15" i="21"/>
  <c r="G15" i="21"/>
  <c r="H15" i="21"/>
  <c r="I15" i="21"/>
  <c r="D16" i="21"/>
  <c r="E16" i="21"/>
  <c r="F16" i="21"/>
  <c r="G16" i="21"/>
  <c r="H16" i="21"/>
  <c r="I16" i="21"/>
  <c r="D17" i="21"/>
  <c r="E17" i="21"/>
  <c r="F17" i="21"/>
  <c r="G17" i="21"/>
  <c r="H17" i="21"/>
  <c r="I17" i="21"/>
  <c r="D18" i="21"/>
  <c r="E18" i="21"/>
  <c r="F18" i="21"/>
  <c r="G18" i="21"/>
  <c r="H18" i="21"/>
  <c r="I18" i="21"/>
  <c r="D19" i="21"/>
  <c r="E19" i="21"/>
  <c r="F19" i="21"/>
  <c r="G19" i="21"/>
  <c r="H19" i="21"/>
  <c r="I19" i="21"/>
  <c r="E26" i="21"/>
  <c r="E30" i="21"/>
  <c r="E34" i="21"/>
  <c r="E38" i="21"/>
  <c r="E42" i="21"/>
  <c r="E46" i="21"/>
  <c r="E50" i="21"/>
  <c r="E54" i="21"/>
  <c r="E58" i="21"/>
  <c r="E62" i="21"/>
  <c r="E66" i="21"/>
  <c r="E70" i="21"/>
  <c r="E10" i="34"/>
  <c r="E11" i="34"/>
  <c r="E12" i="34"/>
  <c r="E16" i="34"/>
  <c r="E31" i="34"/>
  <c r="E32" i="34"/>
  <c r="E33" i="34"/>
  <c r="E37" i="34"/>
  <c r="E38" i="34"/>
  <c r="E39" i="34"/>
  <c r="E40" i="34"/>
  <c r="E55" i="34"/>
  <c r="E56" i="34"/>
  <c r="E57" i="34"/>
  <c r="E61" i="34"/>
  <c r="E62" i="34"/>
  <c r="E63" i="34"/>
  <c r="E64" i="34"/>
  <c r="E79" i="34"/>
  <c r="E80" i="34"/>
  <c r="E81" i="34"/>
  <c r="E82" i="34"/>
  <c r="E83" i="34"/>
  <c r="E84" i="34"/>
  <c r="E88" i="34"/>
  <c r="E89" i="34"/>
  <c r="E90" i="34"/>
  <c r="E91" i="34"/>
  <c r="E92" i="34"/>
  <c r="E107" i="34"/>
  <c r="E108" i="34"/>
  <c r="E109" i="34"/>
  <c r="E110" i="34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R42" i="11"/>
  <c r="S42" i="11"/>
  <c r="T42" i="11"/>
  <c r="U42" i="11"/>
  <c r="V42" i="11"/>
  <c r="W42" i="11"/>
  <c r="X42" i="11"/>
  <c r="Y42" i="11"/>
  <c r="Z42" i="11"/>
  <c r="AA42" i="11"/>
  <c r="AB42" i="11"/>
  <c r="AC42" i="11"/>
  <c r="AD42" i="11"/>
  <c r="AE42" i="11"/>
  <c r="AF42" i="11"/>
  <c r="AG42" i="11"/>
  <c r="AH42" i="11"/>
  <c r="AI42" i="11"/>
  <c r="AJ42" i="11"/>
  <c r="AK42" i="11"/>
  <c r="AL42" i="11"/>
  <c r="AM42" i="11"/>
  <c r="AN42" i="11"/>
  <c r="AO42" i="11"/>
  <c r="AP42" i="11"/>
  <c r="AQ42" i="11"/>
  <c r="AR42" i="11"/>
  <c r="AS42" i="11"/>
  <c r="AT42" i="11"/>
  <c r="AU42" i="11"/>
  <c r="AV42" i="11"/>
  <c r="AW42" i="11"/>
  <c r="AX42" i="11"/>
  <c r="AY42" i="11"/>
  <c r="AZ42" i="11"/>
  <c r="BA42" i="11"/>
  <c r="BB42" i="11"/>
  <c r="BC42" i="11"/>
  <c r="BD42" i="11"/>
  <c r="BE42" i="11"/>
  <c r="BF42" i="11"/>
  <c r="BG42" i="11"/>
  <c r="BH42" i="11"/>
  <c r="BI42" i="11"/>
  <c r="BJ42" i="11"/>
  <c r="BK42" i="11"/>
  <c r="BL42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S43" i="11"/>
  <c r="T43" i="11"/>
  <c r="U43" i="11"/>
  <c r="V43" i="11"/>
  <c r="W43" i="11"/>
  <c r="X43" i="11"/>
  <c r="Y43" i="11"/>
  <c r="Z43" i="11"/>
  <c r="AA43" i="11"/>
  <c r="AB43" i="11"/>
  <c r="AC43" i="11"/>
  <c r="AD43" i="11"/>
  <c r="AE43" i="11"/>
  <c r="AF43" i="11"/>
  <c r="AG43" i="11"/>
  <c r="AH43" i="11"/>
  <c r="AI43" i="11"/>
  <c r="AJ43" i="11"/>
  <c r="AK43" i="11"/>
  <c r="AL43" i="11"/>
  <c r="AM43" i="11"/>
  <c r="AN43" i="11"/>
  <c r="AO43" i="11"/>
  <c r="AP43" i="11"/>
  <c r="AQ43" i="11"/>
  <c r="AR43" i="11"/>
  <c r="AS43" i="11"/>
  <c r="AT43" i="11"/>
  <c r="AU43" i="11"/>
  <c r="AV43" i="11"/>
  <c r="AW43" i="11"/>
  <c r="AX43" i="11"/>
  <c r="AY43" i="11"/>
  <c r="AZ43" i="11"/>
  <c r="BA43" i="11"/>
  <c r="BB43" i="11"/>
  <c r="BC43" i="11"/>
  <c r="BC41" i="11" s="1"/>
  <c r="BD43" i="11"/>
  <c r="BE43" i="11"/>
  <c r="BF43" i="11"/>
  <c r="BG43" i="11"/>
  <c r="BH43" i="11"/>
  <c r="BI43" i="11"/>
  <c r="BJ43" i="11"/>
  <c r="BK43" i="11"/>
  <c r="BL43" i="11"/>
  <c r="BE30" i="11"/>
  <c r="G37" i="11"/>
  <c r="BJ4" i="11"/>
  <c r="BD45" i="11"/>
  <c r="BC45" i="11"/>
  <c r="BB45" i="11"/>
  <c r="BA45" i="11"/>
  <c r="BD37" i="11"/>
  <c r="BC37" i="11"/>
  <c r="BB37" i="11"/>
  <c r="BA37" i="11"/>
  <c r="BD33" i="11"/>
  <c r="BC33" i="11"/>
  <c r="BB33" i="11"/>
  <c r="BA33" i="11"/>
  <c r="BD31" i="11"/>
  <c r="BC31" i="11"/>
  <c r="BB31" i="11"/>
  <c r="BA31" i="11"/>
  <c r="BD30" i="11"/>
  <c r="BC30" i="11"/>
  <c r="BB30" i="11"/>
  <c r="BA30" i="11"/>
  <c r="BD25" i="11"/>
  <c r="BC25" i="11"/>
  <c r="BB25" i="11"/>
  <c r="BA25" i="11"/>
  <c r="BD19" i="11"/>
  <c r="BC19" i="11"/>
  <c r="BB19" i="11"/>
  <c r="BA19" i="11"/>
  <c r="BD15" i="11"/>
  <c r="BC15" i="11"/>
  <c r="BB15" i="11"/>
  <c r="BA15" i="11"/>
  <c r="BD13" i="11"/>
  <c r="BC13" i="11"/>
  <c r="BB13" i="11"/>
  <c r="BA13" i="11"/>
  <c r="BD12" i="11"/>
  <c r="BD11" i="11" s="1"/>
  <c r="BC12" i="11"/>
  <c r="BB12" i="11"/>
  <c r="BB11" i="11" s="1"/>
  <c r="BA12" i="11"/>
  <c r="BD7" i="11"/>
  <c r="BC7" i="11"/>
  <c r="BB7" i="11"/>
  <c r="BA7" i="11"/>
  <c r="BH45" i="11"/>
  <c r="BG45" i="11"/>
  <c r="BF45" i="11"/>
  <c r="BE45" i="11"/>
  <c r="BH37" i="11"/>
  <c r="BG37" i="11"/>
  <c r="BF37" i="11"/>
  <c r="BE37" i="11"/>
  <c r="BH33" i="11"/>
  <c r="BG33" i="11"/>
  <c r="BF33" i="11"/>
  <c r="BE33" i="11"/>
  <c r="BH31" i="11"/>
  <c r="BG31" i="11"/>
  <c r="BF31" i="11"/>
  <c r="BE31" i="11"/>
  <c r="BH30" i="11"/>
  <c r="BG30" i="11"/>
  <c r="BF30" i="11"/>
  <c r="BH25" i="11"/>
  <c r="BG25" i="11"/>
  <c r="BF25" i="11"/>
  <c r="BE25" i="11"/>
  <c r="BH19" i="11"/>
  <c r="BG19" i="11"/>
  <c r="BF19" i="11"/>
  <c r="BE19" i="11"/>
  <c r="BH15" i="11"/>
  <c r="BG15" i="11"/>
  <c r="BF15" i="11"/>
  <c r="BE15" i="11"/>
  <c r="BH13" i="11"/>
  <c r="BG13" i="11"/>
  <c r="BF13" i="11"/>
  <c r="BE13" i="11"/>
  <c r="BH12" i="11"/>
  <c r="BH11" i="11" s="1"/>
  <c r="BG12" i="11"/>
  <c r="BF12" i="11"/>
  <c r="BF11" i="11" s="1"/>
  <c r="BE12" i="11"/>
  <c r="BH7" i="11"/>
  <c r="BG7" i="11"/>
  <c r="BF7" i="11"/>
  <c r="BE7" i="11"/>
  <c r="BJ45" i="11"/>
  <c r="BI45" i="11"/>
  <c r="BJ41" i="11"/>
  <c r="BI41" i="11"/>
  <c r="BJ37" i="11"/>
  <c r="BI37" i="11"/>
  <c r="BJ33" i="11"/>
  <c r="BI33" i="11"/>
  <c r="BJ31" i="11"/>
  <c r="BI31" i="11"/>
  <c r="BJ30" i="11"/>
  <c r="BJ29" i="11" s="1"/>
  <c r="BI30" i="11"/>
  <c r="BJ25" i="11"/>
  <c r="BI25" i="11"/>
  <c r="BJ19" i="11"/>
  <c r="BI19" i="11"/>
  <c r="BJ15" i="11"/>
  <c r="BI15" i="11"/>
  <c r="BJ13" i="11"/>
  <c r="BI13" i="11"/>
  <c r="BJ12" i="11"/>
  <c r="BJ11" i="11" s="1"/>
  <c r="BI12" i="11"/>
  <c r="BI11" i="11" s="1"/>
  <c r="BJ7" i="11"/>
  <c r="BI7" i="11"/>
  <c r="BK45" i="11"/>
  <c r="BK41" i="11"/>
  <c r="BK37" i="11"/>
  <c r="BK33" i="11"/>
  <c r="BK31" i="11"/>
  <c r="BK30" i="11"/>
  <c r="BK29" i="11" s="1"/>
  <c r="BK25" i="11"/>
  <c r="BK19" i="11"/>
  <c r="BK15" i="11"/>
  <c r="BK13" i="11"/>
  <c r="BK12" i="11"/>
  <c r="BK11" i="11" s="1"/>
  <c r="BK7" i="11"/>
  <c r="BL7" i="11"/>
  <c r="BL12" i="11"/>
  <c r="BL11" i="11" s="1"/>
  <c r="BL13" i="11"/>
  <c r="BL15" i="11"/>
  <c r="BL19" i="11"/>
  <c r="BL25" i="11"/>
  <c r="BL30" i="11"/>
  <c r="BL29" i="11" s="1"/>
  <c r="BL31" i="11"/>
  <c r="BL33" i="11"/>
  <c r="BL37" i="11"/>
  <c r="BL41" i="11"/>
  <c r="F12" i="11"/>
  <c r="F11" i="11" s="1"/>
  <c r="G12" i="11"/>
  <c r="H12" i="11"/>
  <c r="I12" i="11"/>
  <c r="I11" i="11" s="1"/>
  <c r="J12" i="11"/>
  <c r="K12" i="11"/>
  <c r="L12" i="11"/>
  <c r="L11" i="11" s="1"/>
  <c r="M12" i="11"/>
  <c r="N12" i="11"/>
  <c r="N11" i="11" s="1"/>
  <c r="O12" i="11"/>
  <c r="P12" i="11"/>
  <c r="Q12" i="11"/>
  <c r="R12" i="11"/>
  <c r="S12" i="11"/>
  <c r="S11" i="11" s="1"/>
  <c r="T12" i="11"/>
  <c r="T11" i="11" s="1"/>
  <c r="U12" i="11"/>
  <c r="V12" i="11"/>
  <c r="W12" i="11"/>
  <c r="X12" i="11"/>
  <c r="Y12" i="11"/>
  <c r="Y11" i="11" s="1"/>
  <c r="Z12" i="11"/>
  <c r="Z11" i="11" s="1"/>
  <c r="AA12" i="11"/>
  <c r="AB12" i="11"/>
  <c r="AC12" i="11"/>
  <c r="AC11" i="11" s="1"/>
  <c r="AD12" i="11"/>
  <c r="AE12" i="11"/>
  <c r="AF12" i="11"/>
  <c r="AG12" i="11"/>
  <c r="AH12" i="11"/>
  <c r="AI12" i="11"/>
  <c r="AJ12" i="11"/>
  <c r="AK12" i="11"/>
  <c r="AL12" i="11"/>
  <c r="AL11" i="11" s="1"/>
  <c r="AM12" i="11"/>
  <c r="AN12" i="11"/>
  <c r="AO12" i="11"/>
  <c r="AO11" i="11" s="1"/>
  <c r="AP12" i="11"/>
  <c r="AQ12" i="11"/>
  <c r="AR12" i="11"/>
  <c r="AR11" i="11" s="1"/>
  <c r="AS12" i="11"/>
  <c r="AT12" i="11"/>
  <c r="AT11" i="11" s="1"/>
  <c r="AU12" i="11"/>
  <c r="AV12" i="11"/>
  <c r="AV11" i="11" s="1"/>
  <c r="AW12" i="11"/>
  <c r="AW11" i="11" s="1"/>
  <c r="AX12" i="11"/>
  <c r="AY12" i="11"/>
  <c r="AY11" i="11" s="1"/>
  <c r="AZ12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AI13" i="11"/>
  <c r="AJ13" i="11"/>
  <c r="AK13" i="11"/>
  <c r="AL13" i="11"/>
  <c r="AM13" i="11"/>
  <c r="AN13" i="11"/>
  <c r="AO13" i="11"/>
  <c r="AP13" i="11"/>
  <c r="AP11" i="11" s="1"/>
  <c r="AQ13" i="11"/>
  <c r="AR13" i="11"/>
  <c r="AS13" i="11"/>
  <c r="AT13" i="11"/>
  <c r="AU13" i="11"/>
  <c r="AV13" i="11"/>
  <c r="AW13" i="11"/>
  <c r="AX13" i="11"/>
  <c r="AY13" i="11"/>
  <c r="AZ13" i="11"/>
  <c r="E13" i="11"/>
  <c r="E12" i="11"/>
  <c r="E11" i="11" s="1"/>
  <c r="F30" i="11"/>
  <c r="F29" i="11" s="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AH30" i="11"/>
  <c r="AI30" i="11"/>
  <c r="AJ30" i="11"/>
  <c r="AK30" i="11"/>
  <c r="AL30" i="11"/>
  <c r="AM30" i="11"/>
  <c r="AN30" i="11"/>
  <c r="AO30" i="11"/>
  <c r="AP30" i="11"/>
  <c r="AQ30" i="11"/>
  <c r="AR30" i="11"/>
  <c r="AS30" i="11"/>
  <c r="AT30" i="11"/>
  <c r="AU30" i="11"/>
  <c r="AV30" i="11"/>
  <c r="AW30" i="11"/>
  <c r="AX30" i="11"/>
  <c r="AY30" i="11"/>
  <c r="AZ30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AA31" i="11"/>
  <c r="AB31" i="11"/>
  <c r="AC31" i="11"/>
  <c r="AD31" i="11"/>
  <c r="AE31" i="11"/>
  <c r="AF31" i="11"/>
  <c r="AG31" i="11"/>
  <c r="AH31" i="11"/>
  <c r="AI31" i="11"/>
  <c r="AJ31" i="11"/>
  <c r="AK31" i="11"/>
  <c r="AL31" i="11"/>
  <c r="AM31" i="11"/>
  <c r="AN31" i="11"/>
  <c r="AO31" i="11"/>
  <c r="AP31" i="11"/>
  <c r="AQ31" i="11"/>
  <c r="AR31" i="11"/>
  <c r="AS31" i="11"/>
  <c r="AT31" i="11"/>
  <c r="AU31" i="11"/>
  <c r="AV31" i="11"/>
  <c r="AW31" i="11"/>
  <c r="AX31" i="11"/>
  <c r="AY31" i="11"/>
  <c r="AZ31" i="11"/>
  <c r="E31" i="11"/>
  <c r="E30" i="11"/>
  <c r="E29" i="11" s="1"/>
  <c r="F41" i="11"/>
  <c r="AT41" i="11"/>
  <c r="AU41" i="11"/>
  <c r="AV41" i="11"/>
  <c r="AW41" i="11"/>
  <c r="E41" i="11"/>
  <c r="O41" i="11"/>
  <c r="F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AA37" i="11"/>
  <c r="AB37" i="11"/>
  <c r="AC37" i="11"/>
  <c r="AD37" i="11"/>
  <c r="AE37" i="11"/>
  <c r="AF37" i="11"/>
  <c r="AG37" i="11"/>
  <c r="AH37" i="11"/>
  <c r="AI37" i="11"/>
  <c r="AJ37" i="11"/>
  <c r="AK37" i="11"/>
  <c r="AL37" i="11"/>
  <c r="AM37" i="11"/>
  <c r="AN37" i="11"/>
  <c r="AO37" i="11"/>
  <c r="AP37" i="11"/>
  <c r="AQ37" i="11"/>
  <c r="AR37" i="11"/>
  <c r="AS37" i="11"/>
  <c r="AT37" i="11"/>
  <c r="AU37" i="11"/>
  <c r="AV37" i="11"/>
  <c r="AW37" i="11"/>
  <c r="AX37" i="11"/>
  <c r="AY37" i="11"/>
  <c r="AZ37" i="11"/>
  <c r="E37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AA33" i="11"/>
  <c r="AB33" i="11"/>
  <c r="AC33" i="11"/>
  <c r="AD33" i="11"/>
  <c r="AE33" i="11"/>
  <c r="AF33" i="11"/>
  <c r="AG33" i="11"/>
  <c r="AH33" i="11"/>
  <c r="AI33" i="11"/>
  <c r="AJ33" i="11"/>
  <c r="AK33" i="11"/>
  <c r="AL33" i="11"/>
  <c r="AM33" i="11"/>
  <c r="AN33" i="11"/>
  <c r="AO33" i="11"/>
  <c r="AP33" i="11"/>
  <c r="AQ33" i="11"/>
  <c r="AR33" i="11"/>
  <c r="AS33" i="11"/>
  <c r="AT33" i="11"/>
  <c r="AU33" i="11"/>
  <c r="AV33" i="11"/>
  <c r="AW33" i="11"/>
  <c r="AX33" i="11"/>
  <c r="AY33" i="11"/>
  <c r="AZ33" i="11"/>
  <c r="E33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AI25" i="11"/>
  <c r="AJ25" i="11"/>
  <c r="AK25" i="11"/>
  <c r="AL25" i="11"/>
  <c r="AM25" i="11"/>
  <c r="AN25" i="11"/>
  <c r="AO25" i="11"/>
  <c r="AP25" i="11"/>
  <c r="AQ25" i="11"/>
  <c r="AR25" i="11"/>
  <c r="AS25" i="11"/>
  <c r="AT25" i="11"/>
  <c r="AU25" i="11"/>
  <c r="AV25" i="11"/>
  <c r="AW25" i="11"/>
  <c r="AX25" i="11"/>
  <c r="AY25" i="11"/>
  <c r="AZ25" i="11"/>
  <c r="E25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AI19" i="11"/>
  <c r="AJ19" i="11"/>
  <c r="AK19" i="11"/>
  <c r="AL19" i="11"/>
  <c r="AM19" i="11"/>
  <c r="AN19" i="11"/>
  <c r="AO19" i="11"/>
  <c r="AP19" i="11"/>
  <c r="AQ19" i="11"/>
  <c r="AR19" i="11"/>
  <c r="AS19" i="11"/>
  <c r="AT19" i="11"/>
  <c r="AU19" i="11"/>
  <c r="AV19" i="11"/>
  <c r="AW19" i="11"/>
  <c r="AX19" i="11"/>
  <c r="AY19" i="11"/>
  <c r="AZ19" i="11"/>
  <c r="E19" i="11"/>
  <c r="E3" i="47"/>
  <c r="E4" i="47"/>
  <c r="E5" i="47"/>
  <c r="E6" i="47"/>
  <c r="E7" i="47"/>
  <c r="E8" i="47"/>
  <c r="E9" i="47"/>
  <c r="E10" i="47"/>
  <c r="E11" i="47"/>
  <c r="E12" i="47"/>
  <c r="E13" i="47"/>
  <c r="E14" i="47"/>
  <c r="E15" i="47"/>
  <c r="E16" i="47"/>
  <c r="E17" i="47"/>
  <c r="E18" i="47"/>
  <c r="E19" i="47"/>
  <c r="E20" i="47"/>
  <c r="E21" i="47"/>
  <c r="E22" i="47"/>
  <c r="E23" i="47"/>
  <c r="E24" i="47"/>
  <c r="E25" i="47"/>
  <c r="E26" i="47"/>
  <c r="E27" i="47"/>
  <c r="E28" i="47"/>
  <c r="E29" i="47"/>
  <c r="E30" i="47"/>
  <c r="E31" i="47"/>
  <c r="E32" i="47"/>
  <c r="E33" i="47"/>
  <c r="E34" i="47"/>
  <c r="E35" i="47"/>
  <c r="E36" i="47"/>
  <c r="E37" i="47"/>
  <c r="E2" i="47"/>
  <c r="F3" i="47"/>
  <c r="G3" i="47"/>
  <c r="H3" i="47"/>
  <c r="F4" i="47"/>
  <c r="G4" i="47"/>
  <c r="H4" i="47"/>
  <c r="F5" i="47"/>
  <c r="G5" i="47"/>
  <c r="H5" i="47"/>
  <c r="F6" i="47"/>
  <c r="G6" i="47"/>
  <c r="H6" i="47"/>
  <c r="F7" i="47"/>
  <c r="G7" i="47"/>
  <c r="H7" i="47"/>
  <c r="F8" i="47"/>
  <c r="G8" i="47"/>
  <c r="H8" i="47"/>
  <c r="F9" i="47"/>
  <c r="G9" i="47"/>
  <c r="H9" i="47"/>
  <c r="F10" i="47"/>
  <c r="G10" i="47"/>
  <c r="H10" i="47"/>
  <c r="F11" i="47"/>
  <c r="G11" i="47"/>
  <c r="H11" i="47"/>
  <c r="F12" i="47"/>
  <c r="G12" i="47"/>
  <c r="H12" i="47"/>
  <c r="F13" i="47"/>
  <c r="G13" i="47"/>
  <c r="H13" i="47"/>
  <c r="F14" i="47"/>
  <c r="G14" i="47"/>
  <c r="H14" i="47"/>
  <c r="F15" i="47"/>
  <c r="G15" i="47"/>
  <c r="H15" i="47"/>
  <c r="F16" i="47"/>
  <c r="G16" i="47"/>
  <c r="H16" i="47"/>
  <c r="F17" i="47"/>
  <c r="G17" i="47"/>
  <c r="H17" i="47"/>
  <c r="F18" i="47"/>
  <c r="G18" i="47"/>
  <c r="H18" i="47"/>
  <c r="F19" i="47"/>
  <c r="G19" i="47"/>
  <c r="H19" i="47"/>
  <c r="F20" i="47"/>
  <c r="G20" i="47"/>
  <c r="H20" i="47"/>
  <c r="F21" i="47"/>
  <c r="G21" i="47"/>
  <c r="H21" i="47"/>
  <c r="F22" i="47"/>
  <c r="G22" i="47"/>
  <c r="H22" i="47"/>
  <c r="F23" i="47"/>
  <c r="G23" i="47"/>
  <c r="H23" i="47"/>
  <c r="F24" i="47"/>
  <c r="G24" i="47"/>
  <c r="H24" i="47"/>
  <c r="F25" i="47"/>
  <c r="G25" i="47"/>
  <c r="H25" i="47"/>
  <c r="F26" i="47"/>
  <c r="G26" i="47"/>
  <c r="H26" i="47"/>
  <c r="F27" i="47"/>
  <c r="G27" i="47"/>
  <c r="H27" i="47"/>
  <c r="F28" i="47"/>
  <c r="G28" i="47"/>
  <c r="H28" i="47"/>
  <c r="F29" i="47"/>
  <c r="G29" i="47"/>
  <c r="H29" i="47"/>
  <c r="F30" i="47"/>
  <c r="G30" i="47"/>
  <c r="H30" i="47"/>
  <c r="F31" i="47"/>
  <c r="G31" i="47"/>
  <c r="H31" i="47"/>
  <c r="F32" i="47"/>
  <c r="G32" i="47"/>
  <c r="H32" i="47"/>
  <c r="F33" i="47"/>
  <c r="G33" i="47"/>
  <c r="H33" i="47"/>
  <c r="F34" i="47"/>
  <c r="G34" i="47"/>
  <c r="H34" i="47"/>
  <c r="F35" i="47"/>
  <c r="G35" i="47"/>
  <c r="H35" i="47"/>
  <c r="F36" i="47"/>
  <c r="G36" i="47"/>
  <c r="H36" i="47"/>
  <c r="F37" i="47"/>
  <c r="G37" i="47"/>
  <c r="H37" i="47"/>
  <c r="H2" i="47"/>
  <c r="G2" i="47"/>
  <c r="F2" i="47"/>
  <c r="H324" i="39"/>
  <c r="H325" i="39"/>
  <c r="H326" i="39"/>
  <c r="H327" i="39"/>
  <c r="H328" i="39"/>
  <c r="H329" i="39"/>
  <c r="H330" i="39"/>
  <c r="H331" i="39"/>
  <c r="H332" i="39"/>
  <c r="H333" i="39"/>
  <c r="H334" i="39"/>
  <c r="H335" i="39"/>
  <c r="H336" i="39"/>
  <c r="H337" i="39"/>
  <c r="H338" i="39"/>
  <c r="H339" i="39"/>
  <c r="H340" i="39"/>
  <c r="H343" i="39"/>
  <c r="H344" i="39"/>
  <c r="H345" i="39"/>
  <c r="H346" i="39"/>
  <c r="H347" i="39"/>
  <c r="H348" i="39"/>
  <c r="H349" i="39"/>
  <c r="H350" i="39"/>
  <c r="H351" i="39"/>
  <c r="H352" i="39"/>
  <c r="H353" i="39"/>
  <c r="H354" i="39"/>
  <c r="H355" i="39"/>
  <c r="H356" i="39"/>
  <c r="H357" i="39"/>
  <c r="H358" i="39"/>
  <c r="H323" i="39"/>
  <c r="H285" i="39"/>
  <c r="H286" i="39"/>
  <c r="H287" i="39"/>
  <c r="H288" i="39"/>
  <c r="H289" i="39"/>
  <c r="H290" i="39"/>
  <c r="H291" i="39"/>
  <c r="H292" i="39"/>
  <c r="H293" i="39"/>
  <c r="H294" i="39"/>
  <c r="H295" i="39"/>
  <c r="H296" i="39"/>
  <c r="H297" i="39"/>
  <c r="H298" i="39"/>
  <c r="H299" i="39"/>
  <c r="H300" i="39"/>
  <c r="H301" i="39"/>
  <c r="H304" i="39"/>
  <c r="H305" i="39"/>
  <c r="H306" i="39"/>
  <c r="H307" i="39"/>
  <c r="H308" i="39"/>
  <c r="H309" i="39"/>
  <c r="H310" i="39"/>
  <c r="H311" i="39"/>
  <c r="H312" i="39"/>
  <c r="H313" i="39"/>
  <c r="H314" i="39"/>
  <c r="H315" i="39"/>
  <c r="H316" i="39"/>
  <c r="H317" i="39"/>
  <c r="H318" i="39"/>
  <c r="H319" i="39"/>
  <c r="H284" i="39"/>
  <c r="H264" i="39"/>
  <c r="H263" i="39"/>
  <c r="H262" i="39"/>
  <c r="H246" i="39"/>
  <c r="H247" i="39"/>
  <c r="H248" i="39"/>
  <c r="H249" i="39"/>
  <c r="H250" i="39"/>
  <c r="H251" i="39"/>
  <c r="H252" i="39"/>
  <c r="H253" i="39"/>
  <c r="H254" i="39"/>
  <c r="H255" i="39"/>
  <c r="H256" i="39"/>
  <c r="H257" i="39"/>
  <c r="H258" i="39"/>
  <c r="H259" i="39"/>
  <c r="H260" i="39"/>
  <c r="H261" i="39"/>
  <c r="H265" i="39"/>
  <c r="H266" i="39"/>
  <c r="H267" i="39"/>
  <c r="H268" i="39"/>
  <c r="H269" i="39"/>
  <c r="H270" i="39"/>
  <c r="H271" i="39"/>
  <c r="H272" i="39"/>
  <c r="H273" i="39"/>
  <c r="H274" i="39"/>
  <c r="H275" i="39"/>
  <c r="H276" i="39"/>
  <c r="H277" i="39"/>
  <c r="H278" i="39"/>
  <c r="H279" i="39"/>
  <c r="H280" i="39"/>
  <c r="H245" i="39"/>
  <c r="H241" i="39"/>
  <c r="H240" i="39"/>
  <c r="H239" i="39"/>
  <c r="H238" i="39"/>
  <c r="H237" i="39"/>
  <c r="H236" i="39"/>
  <c r="H235" i="39"/>
  <c r="H234" i="39"/>
  <c r="H233" i="39"/>
  <c r="H232" i="39"/>
  <c r="H231" i="39"/>
  <c r="H230" i="39"/>
  <c r="H229" i="39"/>
  <c r="H228" i="39"/>
  <c r="H227" i="39"/>
  <c r="H226" i="39"/>
  <c r="H223" i="39"/>
  <c r="H222" i="39"/>
  <c r="H221" i="39"/>
  <c r="H220" i="39"/>
  <c r="H219" i="39"/>
  <c r="H218" i="39"/>
  <c r="H217" i="39"/>
  <c r="H216" i="39"/>
  <c r="H215" i="39"/>
  <c r="H214" i="39"/>
  <c r="H213" i="39"/>
  <c r="H212" i="39"/>
  <c r="H211" i="39"/>
  <c r="H210" i="39"/>
  <c r="H209" i="39"/>
  <c r="H208" i="39"/>
  <c r="H207" i="39"/>
  <c r="H206" i="39"/>
  <c r="H168" i="39"/>
  <c r="H169" i="39"/>
  <c r="H170" i="39"/>
  <c r="H171" i="39"/>
  <c r="H172" i="39"/>
  <c r="H173" i="39"/>
  <c r="H174" i="39"/>
  <c r="H175" i="39"/>
  <c r="H176" i="39"/>
  <c r="H177" i="39"/>
  <c r="H178" i="39"/>
  <c r="H179" i="39"/>
  <c r="H180" i="39"/>
  <c r="H181" i="39"/>
  <c r="H182" i="39"/>
  <c r="H183" i="39"/>
  <c r="H184" i="39"/>
  <c r="H187" i="39"/>
  <c r="H188" i="39"/>
  <c r="H189" i="39"/>
  <c r="H190" i="39"/>
  <c r="H191" i="39"/>
  <c r="H192" i="39"/>
  <c r="H193" i="39"/>
  <c r="H194" i="39"/>
  <c r="H195" i="39"/>
  <c r="H196" i="39"/>
  <c r="H197" i="39"/>
  <c r="H198" i="39"/>
  <c r="H199" i="39"/>
  <c r="H200" i="39"/>
  <c r="H201" i="39"/>
  <c r="H202" i="39"/>
  <c r="H124" i="39"/>
  <c r="H125" i="39"/>
  <c r="H126" i="39"/>
  <c r="H127" i="39"/>
  <c r="H128" i="39"/>
  <c r="H129" i="39"/>
  <c r="H130" i="39"/>
  <c r="H131" i="39"/>
  <c r="H132" i="39"/>
  <c r="H133" i="39"/>
  <c r="H134" i="39"/>
  <c r="H135" i="39"/>
  <c r="H136" i="39"/>
  <c r="H137" i="39"/>
  <c r="H138" i="39"/>
  <c r="H139" i="39"/>
  <c r="H140" i="39"/>
  <c r="H141" i="39"/>
  <c r="H142" i="39"/>
  <c r="H143" i="39"/>
  <c r="H144" i="39"/>
  <c r="H145" i="39"/>
  <c r="H146" i="39"/>
  <c r="H147" i="39"/>
  <c r="H148" i="39"/>
  <c r="H149" i="39"/>
  <c r="H150" i="39"/>
  <c r="H151" i="39"/>
  <c r="H152" i="39"/>
  <c r="H153" i="39"/>
  <c r="H154" i="39"/>
  <c r="H155" i="39"/>
  <c r="H156" i="39"/>
  <c r="H157" i="39"/>
  <c r="H158" i="39"/>
  <c r="H123" i="39"/>
  <c r="H167" i="39"/>
  <c r="G123" i="39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AI15" i="11"/>
  <c r="AJ15" i="11"/>
  <c r="AK15" i="11"/>
  <c r="AL15" i="11"/>
  <c r="AM15" i="11"/>
  <c r="AN15" i="11"/>
  <c r="AO15" i="11"/>
  <c r="AP15" i="11"/>
  <c r="AQ15" i="11"/>
  <c r="AR15" i="11"/>
  <c r="AS15" i="11"/>
  <c r="AT15" i="11"/>
  <c r="AU15" i="11"/>
  <c r="AV15" i="11"/>
  <c r="AW15" i="11"/>
  <c r="AX15" i="11"/>
  <c r="AY15" i="11"/>
  <c r="AZ15" i="11"/>
  <c r="E15" i="11"/>
  <c r="O11" i="11"/>
  <c r="R11" i="11"/>
  <c r="W11" i="11"/>
  <c r="AE11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AI7" i="11"/>
  <c r="AJ7" i="11"/>
  <c r="AK7" i="11"/>
  <c r="AL7" i="11"/>
  <c r="AM7" i="11"/>
  <c r="AN7" i="11"/>
  <c r="AO7" i="11"/>
  <c r="AP7" i="11"/>
  <c r="AQ7" i="11"/>
  <c r="AR7" i="11"/>
  <c r="AS7" i="11"/>
  <c r="AT7" i="11"/>
  <c r="AU7" i="11"/>
  <c r="AV7" i="11"/>
  <c r="AW7" i="11"/>
  <c r="AX7" i="11"/>
  <c r="AY7" i="11"/>
  <c r="AZ7" i="11"/>
  <c r="BA11" i="11" l="1"/>
  <c r="BH29" i="11"/>
  <c r="BE41" i="11"/>
  <c r="AZ41" i="11"/>
  <c r="BG11" i="11"/>
  <c r="BD41" i="11"/>
  <c r="BF29" i="11"/>
  <c r="BF41" i="11"/>
  <c r="BG29" i="11"/>
  <c r="BI29" i="11"/>
  <c r="AM41" i="11"/>
  <c r="W41" i="11"/>
  <c r="AS29" i="11"/>
  <c r="X11" i="11"/>
  <c r="Q11" i="11"/>
  <c r="P11" i="11"/>
  <c r="BG41" i="11"/>
  <c r="BC11" i="11"/>
  <c r="BC29" i="11"/>
  <c r="BH41" i="11"/>
  <c r="AS41" i="11"/>
  <c r="BA41" i="11"/>
  <c r="BB41" i="11"/>
  <c r="AY41" i="11"/>
  <c r="AX41" i="11"/>
  <c r="BE11" i="11"/>
  <c r="AX11" i="11"/>
  <c r="BE29" i="11"/>
  <c r="BA29" i="11"/>
  <c r="AR41" i="11"/>
  <c r="BD29" i="11"/>
  <c r="AQ41" i="11"/>
  <c r="AZ11" i="11"/>
  <c r="BB29" i="11"/>
  <c r="AZ29" i="11"/>
  <c r="AP41" i="11"/>
  <c r="AO41" i="11"/>
  <c r="V41" i="11"/>
  <c r="AR29" i="11"/>
  <c r="AB29" i="11"/>
  <c r="T29" i="11"/>
  <c r="L29" i="11"/>
  <c r="AM11" i="11"/>
  <c r="G41" i="11"/>
  <c r="H11" i="11"/>
  <c r="U41" i="11"/>
  <c r="AB41" i="11"/>
  <c r="T41" i="11"/>
  <c r="AI29" i="11"/>
  <c r="AQ11" i="11"/>
  <c r="AA11" i="11"/>
  <c r="AT29" i="11"/>
  <c r="X41" i="11"/>
  <c r="M41" i="11"/>
  <c r="U11" i="11"/>
  <c r="M11" i="11"/>
  <c r="AF41" i="11"/>
  <c r="P41" i="11"/>
  <c r="Y41" i="11"/>
  <c r="Q41" i="11"/>
  <c r="AU29" i="11"/>
  <c r="AE29" i="11"/>
  <c r="W29" i="11"/>
  <c r="J11" i="11"/>
  <c r="G11" i="11"/>
  <c r="J41" i="11"/>
  <c r="AI41" i="11"/>
  <c r="S41" i="11"/>
  <c r="I41" i="11"/>
  <c r="AG29" i="11"/>
  <c r="AJ11" i="11"/>
  <c r="AB11" i="11"/>
  <c r="R41" i="11"/>
  <c r="AN29" i="11"/>
  <c r="AF29" i="11"/>
  <c r="AI11" i="11"/>
  <c r="AX29" i="11"/>
  <c r="AP29" i="11"/>
  <c r="AV29" i="11"/>
  <c r="X29" i="11"/>
  <c r="P29" i="11"/>
  <c r="H29" i="11"/>
  <c r="O29" i="11"/>
  <c r="G29" i="11"/>
  <c r="K11" i="11"/>
  <c r="AN41" i="11"/>
  <c r="AG11" i="11"/>
  <c r="H41" i="11"/>
  <c r="AN11" i="11"/>
  <c r="AD41" i="11"/>
  <c r="L41" i="11"/>
  <c r="AU11" i="11"/>
  <c r="K41" i="11"/>
  <c r="AQ29" i="11"/>
  <c r="AA29" i="11"/>
  <c r="S29" i="11"/>
  <c r="K29" i="11"/>
  <c r="AD11" i="11"/>
  <c r="V11" i="11"/>
  <c r="AY29" i="11"/>
  <c r="AW29" i="11"/>
  <c r="AL41" i="11"/>
  <c r="AK41" i="11"/>
  <c r="AS11" i="11"/>
  <c r="AJ41" i="11"/>
  <c r="AH41" i="11"/>
  <c r="AG41" i="11"/>
  <c r="AO29" i="11"/>
  <c r="AM29" i="11"/>
  <c r="AE41" i="11"/>
  <c r="AK11" i="11"/>
  <c r="AL29" i="11"/>
  <c r="AK29" i="11"/>
  <c r="AJ29" i="11"/>
  <c r="AC41" i="11"/>
  <c r="AH11" i="11"/>
  <c r="AH29" i="11"/>
  <c r="AA41" i="11"/>
  <c r="AF11" i="11"/>
  <c r="Z41" i="11"/>
  <c r="N41" i="11"/>
  <c r="Z29" i="11"/>
  <c r="R29" i="11"/>
  <c r="J29" i="11"/>
  <c r="Y29" i="11"/>
  <c r="Q29" i="11"/>
  <c r="I29" i="11"/>
  <c r="AD29" i="11"/>
  <c r="V29" i="11"/>
  <c r="N29" i="11"/>
  <c r="AC29" i="11"/>
  <c r="U29" i="11"/>
  <c r="M29" i="11"/>
  <c r="AL4" i="11"/>
  <c r="F32" i="33"/>
  <c r="F31" i="33"/>
  <c r="F29" i="33"/>
  <c r="N4" i="11" l="1"/>
  <c r="AX4" i="11"/>
  <c r="Z4" i="11"/>
  <c r="H1" i="1"/>
  <c r="E358" i="39"/>
  <c r="E357" i="39"/>
  <c r="E356" i="39"/>
  <c r="E355" i="39"/>
  <c r="E354" i="39"/>
  <c r="E353" i="39"/>
  <c r="E352" i="39"/>
  <c r="E351" i="39"/>
  <c r="E350" i="39"/>
  <c r="E349" i="39"/>
  <c r="E348" i="39"/>
  <c r="E347" i="39"/>
  <c r="E346" i="39"/>
  <c r="E345" i="39"/>
  <c r="E344" i="39"/>
  <c r="E343" i="39"/>
  <c r="E340" i="39"/>
  <c r="E339" i="39"/>
  <c r="E338" i="39"/>
  <c r="E337" i="39"/>
  <c r="E336" i="39"/>
  <c r="E335" i="39"/>
  <c r="E334" i="39"/>
  <c r="E333" i="39"/>
  <c r="E332" i="39"/>
  <c r="E331" i="39"/>
  <c r="E330" i="39"/>
  <c r="E329" i="39"/>
  <c r="E328" i="39"/>
  <c r="E327" i="39"/>
  <c r="E326" i="39"/>
  <c r="E325" i="39"/>
  <c r="E324" i="39"/>
  <c r="E323" i="39"/>
  <c r="E319" i="39"/>
  <c r="E318" i="39"/>
  <c r="E317" i="39"/>
  <c r="E316" i="39"/>
  <c r="E315" i="39"/>
  <c r="E314" i="39"/>
  <c r="E313" i="39"/>
  <c r="E312" i="39"/>
  <c r="E311" i="39"/>
  <c r="E310" i="39"/>
  <c r="E309" i="39"/>
  <c r="E308" i="39"/>
  <c r="E307" i="39"/>
  <c r="E306" i="39"/>
  <c r="E305" i="39"/>
  <c r="E304" i="39"/>
  <c r="E301" i="39"/>
  <c r="E300" i="39"/>
  <c r="E299" i="39"/>
  <c r="E298" i="39"/>
  <c r="E297" i="39"/>
  <c r="E296" i="39"/>
  <c r="E295" i="39"/>
  <c r="E294" i="39"/>
  <c r="E293" i="39"/>
  <c r="E292" i="39"/>
  <c r="E291" i="39"/>
  <c r="E290" i="39"/>
  <c r="E289" i="39"/>
  <c r="E288" i="39"/>
  <c r="E287" i="39"/>
  <c r="E286" i="39"/>
  <c r="E285" i="39"/>
  <c r="E284" i="39"/>
  <c r="E280" i="39"/>
  <c r="E279" i="39"/>
  <c r="E278" i="39"/>
  <c r="E277" i="39"/>
  <c r="E276" i="39"/>
  <c r="E275" i="39"/>
  <c r="E274" i="39"/>
  <c r="E273" i="39"/>
  <c r="E272" i="39"/>
  <c r="E271" i="39"/>
  <c r="E270" i="39"/>
  <c r="E269" i="39"/>
  <c r="E268" i="39"/>
  <c r="E267" i="39"/>
  <c r="E266" i="39"/>
  <c r="E265" i="39"/>
  <c r="E264" i="39"/>
  <c r="E263" i="39"/>
  <c r="E262" i="39"/>
  <c r="E261" i="39"/>
  <c r="E260" i="39"/>
  <c r="E259" i="39"/>
  <c r="E258" i="39"/>
  <c r="E257" i="39"/>
  <c r="E256" i="39"/>
  <c r="E255" i="39"/>
  <c r="E254" i="39"/>
  <c r="E253" i="39"/>
  <c r="E252" i="39"/>
  <c r="E251" i="39"/>
  <c r="E250" i="39"/>
  <c r="E249" i="39"/>
  <c r="E248" i="39"/>
  <c r="E247" i="39"/>
  <c r="E246" i="39"/>
  <c r="E245" i="39"/>
  <c r="E241" i="39"/>
  <c r="E240" i="39"/>
  <c r="E239" i="39"/>
  <c r="E238" i="39"/>
  <c r="E237" i="39"/>
  <c r="E236" i="39"/>
  <c r="E235" i="39"/>
  <c r="E234" i="39"/>
  <c r="E233" i="39"/>
  <c r="E232" i="39"/>
  <c r="E231" i="39"/>
  <c r="E230" i="39"/>
  <c r="E229" i="39"/>
  <c r="E228" i="39"/>
  <c r="E227" i="39"/>
  <c r="E226" i="39"/>
  <c r="E223" i="39"/>
  <c r="E222" i="39"/>
  <c r="E221" i="39"/>
  <c r="E220" i="39"/>
  <c r="E219" i="39"/>
  <c r="E218" i="39"/>
  <c r="E217" i="39"/>
  <c r="E216" i="39"/>
  <c r="E215" i="39"/>
  <c r="E214" i="39"/>
  <c r="E213" i="39"/>
  <c r="E212" i="39"/>
  <c r="E211" i="39"/>
  <c r="E210" i="39"/>
  <c r="E209" i="39"/>
  <c r="E208" i="39"/>
  <c r="E207" i="39"/>
  <c r="E206" i="39"/>
  <c r="E202" i="39"/>
  <c r="E201" i="39"/>
  <c r="E200" i="39"/>
  <c r="E199" i="39"/>
  <c r="E198" i="39"/>
  <c r="E197" i="39"/>
  <c r="E196" i="39"/>
  <c r="E195" i="39"/>
  <c r="E194" i="39"/>
  <c r="E193" i="39"/>
  <c r="E192" i="39"/>
  <c r="E191" i="39"/>
  <c r="E190" i="39"/>
  <c r="E189" i="39"/>
  <c r="E188" i="39"/>
  <c r="E187" i="39"/>
  <c r="E184" i="39"/>
  <c r="E183" i="39"/>
  <c r="E182" i="39"/>
  <c r="E181" i="39"/>
  <c r="E180" i="39"/>
  <c r="E179" i="39"/>
  <c r="E178" i="39"/>
  <c r="E177" i="39"/>
  <c r="E176" i="39"/>
  <c r="E175" i="39"/>
  <c r="E174" i="39"/>
  <c r="E173" i="39"/>
  <c r="E172" i="39"/>
  <c r="E171" i="39"/>
  <c r="E170" i="39"/>
  <c r="E169" i="39"/>
  <c r="E168" i="39"/>
  <c r="E167" i="39"/>
  <c r="E124" i="39"/>
  <c r="E125" i="39"/>
  <c r="E126" i="39"/>
  <c r="E127" i="39"/>
  <c r="E128" i="39"/>
  <c r="E129" i="39"/>
  <c r="E130" i="39"/>
  <c r="E131" i="39"/>
  <c r="E132" i="39"/>
  <c r="E133" i="39"/>
  <c r="E134" i="39"/>
  <c r="E135" i="39"/>
  <c r="E136" i="39"/>
  <c r="E137" i="39"/>
  <c r="E138" i="39"/>
  <c r="E139" i="39"/>
  <c r="E140" i="39"/>
  <c r="E141" i="39"/>
  <c r="E142" i="39"/>
  <c r="E143" i="39"/>
  <c r="E144" i="39"/>
  <c r="E145" i="39"/>
  <c r="E146" i="39"/>
  <c r="E147" i="39"/>
  <c r="E148" i="39"/>
  <c r="E149" i="39"/>
  <c r="E150" i="39"/>
  <c r="E151" i="39"/>
  <c r="E152" i="39"/>
  <c r="E153" i="39"/>
  <c r="E154" i="39"/>
  <c r="E155" i="39"/>
  <c r="E156" i="39"/>
  <c r="E157" i="39"/>
  <c r="E158" i="39"/>
  <c r="E123" i="39"/>
  <c r="E119" i="39"/>
  <c r="E118" i="39"/>
  <c r="E117" i="39"/>
  <c r="E116" i="39"/>
  <c r="E115" i="39"/>
  <c r="E114" i="39"/>
  <c r="E113" i="39"/>
  <c r="E112" i="39"/>
  <c r="E111" i="39"/>
  <c r="E110" i="39"/>
  <c r="E109" i="39"/>
  <c r="E108" i="39"/>
  <c r="E107" i="39"/>
  <c r="E106" i="39"/>
  <c r="E105" i="39"/>
  <c r="E104" i="39"/>
  <c r="E103" i="39"/>
  <c r="E102" i="39"/>
  <c r="E101" i="39"/>
  <c r="E100" i="39"/>
  <c r="E99" i="39"/>
  <c r="E98" i="39"/>
  <c r="E97" i="39"/>
  <c r="E96" i="39"/>
  <c r="E95" i="39"/>
  <c r="E94" i="39"/>
  <c r="E93" i="39"/>
  <c r="E92" i="39"/>
  <c r="E91" i="39"/>
  <c r="E90" i="39"/>
  <c r="E89" i="39"/>
  <c r="E88" i="39"/>
  <c r="E87" i="39"/>
  <c r="E86" i="39"/>
  <c r="E85" i="39"/>
  <c r="E84" i="39"/>
  <c r="E80" i="39"/>
  <c r="E79" i="39"/>
  <c r="E78" i="39"/>
  <c r="E77" i="39"/>
  <c r="E76" i="39"/>
  <c r="E75" i="39"/>
  <c r="E74" i="39"/>
  <c r="E73" i="39"/>
  <c r="E72" i="39"/>
  <c r="E71" i="39"/>
  <c r="E70" i="39"/>
  <c r="E69" i="39"/>
  <c r="E68" i="39"/>
  <c r="E67" i="39"/>
  <c r="E66" i="39"/>
  <c r="E65" i="39"/>
  <c r="E64" i="39"/>
  <c r="E63" i="39"/>
  <c r="E62" i="39"/>
  <c r="E61" i="39"/>
  <c r="E60" i="39"/>
  <c r="E59" i="39"/>
  <c r="E58" i="39"/>
  <c r="E57" i="39"/>
  <c r="E56" i="39"/>
  <c r="E55" i="39"/>
  <c r="E54" i="39"/>
  <c r="E53" i="39"/>
  <c r="E52" i="39"/>
  <c r="E51" i="39"/>
  <c r="E50" i="39"/>
  <c r="E49" i="39"/>
  <c r="E48" i="39"/>
  <c r="E47" i="39"/>
  <c r="E46" i="39"/>
  <c r="E45" i="39"/>
  <c r="D3" i="39"/>
  <c r="E7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22" i="39"/>
  <c r="E23" i="39"/>
  <c r="E24" i="39"/>
  <c r="E25" i="39"/>
  <c r="E26" i="39"/>
  <c r="E27" i="39"/>
  <c r="E28" i="39"/>
  <c r="E29" i="39"/>
  <c r="E30" i="39"/>
  <c r="E31" i="39"/>
  <c r="E32" i="39"/>
  <c r="E33" i="39"/>
  <c r="E34" i="39"/>
  <c r="E35" i="39"/>
  <c r="E36" i="39"/>
  <c r="E37" i="39"/>
  <c r="E38" i="39"/>
  <c r="E39" i="39"/>
  <c r="E40" i="39"/>
  <c r="E41" i="39"/>
  <c r="C38" i="47"/>
  <c r="B38" i="47"/>
  <c r="E260" i="34"/>
  <c r="C260" i="34"/>
  <c r="E242" i="34"/>
  <c r="C242" i="34"/>
  <c r="E221" i="34"/>
  <c r="C221" i="34"/>
  <c r="E201" i="34"/>
  <c r="C201" i="34"/>
  <c r="E181" i="34"/>
  <c r="C181" i="34"/>
  <c r="E162" i="34"/>
  <c r="C162" i="34"/>
  <c r="E143" i="34"/>
  <c r="C143" i="34"/>
  <c r="E125" i="34"/>
  <c r="C125" i="34"/>
  <c r="E76" i="34"/>
  <c r="C76" i="34"/>
  <c r="E52" i="34"/>
  <c r="C52" i="34"/>
  <c r="E28" i="34"/>
  <c r="C28" i="34"/>
  <c r="E7" i="34"/>
  <c r="C7" i="34"/>
  <c r="E320" i="39" l="1"/>
  <c r="G288" i="39" s="1"/>
  <c r="E281" i="39"/>
  <c r="G249" i="39" s="1"/>
  <c r="E203" i="39"/>
  <c r="G174" i="39" s="1"/>
  <c r="G136" i="34"/>
  <c r="E128" i="34"/>
  <c r="B2" i="46"/>
  <c r="B1" i="46"/>
  <c r="C128" i="34"/>
  <c r="G183" i="39" l="1"/>
  <c r="G175" i="39"/>
  <c r="G192" i="39"/>
  <c r="G170" i="39"/>
  <c r="G199" i="39"/>
  <c r="G173" i="39"/>
  <c r="G182" i="39"/>
  <c r="G181" i="39"/>
  <c r="G172" i="39"/>
  <c r="G193" i="39"/>
  <c r="G178" i="39"/>
  <c r="G200" i="39"/>
  <c r="G169" i="39"/>
  <c r="G180" i="39"/>
  <c r="G195" i="39"/>
  <c r="G167" i="39"/>
  <c r="G184" i="39"/>
  <c r="G194" i="39"/>
  <c r="G176" i="39"/>
  <c r="G168" i="39"/>
  <c r="G202" i="39"/>
  <c r="G171" i="39"/>
  <c r="G189" i="39"/>
  <c r="G197" i="39"/>
  <c r="G179" i="39"/>
  <c r="G196" i="39"/>
  <c r="G187" i="39"/>
  <c r="G198" i="39"/>
  <c r="G188" i="39"/>
  <c r="G177" i="39"/>
  <c r="G201" i="39"/>
  <c r="G191" i="39"/>
  <c r="G190" i="39"/>
  <c r="G258" i="39"/>
  <c r="G255" i="39"/>
  <c r="G277" i="39"/>
  <c r="G248" i="39"/>
  <c r="G250" i="39"/>
  <c r="G317" i="39"/>
  <c r="G272" i="39"/>
  <c r="G298" i="39"/>
  <c r="G313" i="39"/>
  <c r="G270" i="39"/>
  <c r="G312" i="39"/>
  <c r="G318" i="39"/>
  <c r="G278" i="39"/>
  <c r="G295" i="39"/>
  <c r="G293" i="39"/>
  <c r="G300" i="39"/>
  <c r="G254" i="39"/>
  <c r="G314" i="39"/>
  <c r="G268" i="39"/>
  <c r="G256" i="39"/>
  <c r="G260" i="39"/>
  <c r="G319" i="39"/>
  <c r="G306" i="39"/>
  <c r="G301" i="39"/>
  <c r="G246" i="39"/>
  <c r="G304" i="39"/>
  <c r="G287" i="39"/>
  <c r="G285" i="39"/>
  <c r="G292" i="39"/>
  <c r="G290" i="39"/>
  <c r="G259" i="39"/>
  <c r="G274" i="39"/>
  <c r="G267" i="39"/>
  <c r="G251" i="39"/>
  <c r="G275" i="39"/>
  <c r="G265" i="39"/>
  <c r="G257" i="39"/>
  <c r="G316" i="39"/>
  <c r="G289" i="39"/>
  <c r="G297" i="39"/>
  <c r="G299" i="39"/>
  <c r="G286" i="39"/>
  <c r="G294" i="39"/>
  <c r="G291" i="39"/>
  <c r="G307" i="39"/>
  <c r="G315" i="39"/>
  <c r="G308" i="39"/>
  <c r="G309" i="39"/>
  <c r="G262" i="39"/>
  <c r="G252" i="39"/>
  <c r="G279" i="39"/>
  <c r="G247" i="39"/>
  <c r="G311" i="39"/>
  <c r="G264" i="39"/>
  <c r="G271" i="39"/>
  <c r="G305" i="39"/>
  <c r="G261" i="39"/>
  <c r="G269" i="39"/>
  <c r="G276" i="39"/>
  <c r="G310" i="39"/>
  <c r="G266" i="39"/>
  <c r="G273" i="39"/>
  <c r="G263" i="39"/>
  <c r="G280" i="39"/>
  <c r="G296" i="39"/>
  <c r="G253" i="39"/>
  <c r="B2" i="43"/>
  <c r="B1" i="43"/>
  <c r="B2" i="42"/>
  <c r="B1" i="42"/>
  <c r="B2" i="37"/>
  <c r="B1" i="37"/>
  <c r="B2" i="36"/>
  <c r="B1" i="36"/>
  <c r="B2" i="30"/>
  <c r="B1" i="30"/>
  <c r="B2" i="29"/>
  <c r="B1" i="29"/>
  <c r="B2" i="28"/>
  <c r="B1" i="28"/>
  <c r="B2" i="27"/>
  <c r="B1" i="27"/>
  <c r="B2" i="26"/>
  <c r="B1" i="26"/>
  <c r="B2" i="25"/>
  <c r="B1" i="25"/>
  <c r="B2" i="24"/>
  <c r="B1" i="24"/>
  <c r="B2" i="23"/>
  <c r="B1" i="23"/>
  <c r="B2" i="45"/>
  <c r="B1" i="45"/>
  <c r="C2" i="22"/>
  <c r="C1" i="22"/>
  <c r="C2" i="20"/>
  <c r="C1" i="20"/>
  <c r="B2" i="44"/>
  <c r="B1" i="44"/>
  <c r="C2" i="21"/>
  <c r="C1" i="21"/>
  <c r="C2" i="19"/>
  <c r="C1" i="19"/>
  <c r="C2" i="18"/>
  <c r="C1" i="18"/>
  <c r="C2" i="17"/>
  <c r="C1" i="17"/>
  <c r="C2" i="15"/>
  <c r="C1" i="15"/>
  <c r="C2" i="14"/>
  <c r="C1" i="14"/>
  <c r="C2" i="31"/>
  <c r="C1" i="31"/>
  <c r="C2" i="32"/>
  <c r="C1" i="32"/>
  <c r="C2" i="33"/>
  <c r="C1" i="33"/>
  <c r="C162" i="39"/>
  <c r="E162" i="39" s="1"/>
  <c r="E359" i="39" l="1"/>
  <c r="E242" i="39"/>
  <c r="G235" i="39" l="1"/>
  <c r="G229" i="39"/>
  <c r="G214" i="39"/>
  <c r="G215" i="39"/>
  <c r="G223" i="39"/>
  <c r="G211" i="39"/>
  <c r="G221" i="39"/>
  <c r="G237" i="39"/>
  <c r="G218" i="39"/>
  <c r="G212" i="39"/>
  <c r="G208" i="39"/>
  <c r="G216" i="39"/>
  <c r="G230" i="39"/>
  <c r="G231" i="39"/>
  <c r="G233" i="39"/>
  <c r="G239" i="39"/>
  <c r="G241" i="39"/>
  <c r="G209" i="39"/>
  <c r="G210" i="39"/>
  <c r="G220" i="39"/>
  <c r="G207" i="39"/>
  <c r="G226" i="39"/>
  <c r="G217" i="39"/>
  <c r="G236" i="39"/>
  <c r="G228" i="39"/>
  <c r="G219" i="39"/>
  <c r="G227" i="39"/>
  <c r="G238" i="39"/>
  <c r="G222" i="39"/>
  <c r="G213" i="39"/>
  <c r="G232" i="39"/>
  <c r="G240" i="39"/>
  <c r="G234" i="39"/>
  <c r="G326" i="39"/>
  <c r="G358" i="39"/>
  <c r="G346" i="39"/>
  <c r="G354" i="39"/>
  <c r="G350" i="39"/>
  <c r="G332" i="39"/>
  <c r="G340" i="39"/>
  <c r="G325" i="39"/>
  <c r="G334" i="39"/>
  <c r="G328" i="39"/>
  <c r="G336" i="39"/>
  <c r="G344" i="39"/>
  <c r="G352" i="39"/>
  <c r="G333" i="39"/>
  <c r="G349" i="39"/>
  <c r="G357" i="39"/>
  <c r="G348" i="39"/>
  <c r="G345" i="39"/>
  <c r="G347" i="39"/>
  <c r="G324" i="39"/>
  <c r="G330" i="39"/>
  <c r="G343" i="39"/>
  <c r="G356" i="39"/>
  <c r="G355" i="39"/>
  <c r="G339" i="39"/>
  <c r="G351" i="39"/>
  <c r="G353" i="39"/>
  <c r="G329" i="39"/>
  <c r="G327" i="39"/>
  <c r="G331" i="39"/>
  <c r="G337" i="39"/>
  <c r="G335" i="39"/>
  <c r="G338" i="39"/>
  <c r="G323" i="39"/>
  <c r="G284" i="39"/>
  <c r="G206" i="39"/>
  <c r="G245" i="39"/>
  <c r="E159" i="39"/>
  <c r="E120" i="39"/>
  <c r="E81" i="39"/>
  <c r="G143" i="39" l="1"/>
  <c r="G151" i="39"/>
  <c r="G135" i="39"/>
  <c r="G127" i="39"/>
  <c r="G130" i="39"/>
  <c r="G146" i="39"/>
  <c r="G138" i="39"/>
  <c r="G154" i="39"/>
  <c r="G132" i="39"/>
  <c r="G142" i="39"/>
  <c r="G139" i="39"/>
  <c r="G126" i="39"/>
  <c r="G156" i="39"/>
  <c r="G129" i="39"/>
  <c r="G125" i="39"/>
  <c r="G158" i="39"/>
  <c r="G149" i="39"/>
  <c r="G124" i="39"/>
  <c r="G155" i="39"/>
  <c r="G141" i="39"/>
  <c r="G144" i="39"/>
  <c r="G137" i="39"/>
  <c r="G148" i="39"/>
  <c r="G140" i="39"/>
  <c r="G150" i="39"/>
  <c r="G147" i="39"/>
  <c r="G152" i="39"/>
  <c r="G133" i="39"/>
  <c r="G153" i="39"/>
  <c r="G157" i="39"/>
  <c r="G134" i="39"/>
  <c r="G131" i="39"/>
  <c r="G145" i="39"/>
  <c r="G136" i="39"/>
  <c r="G128" i="39"/>
  <c r="H99" i="39"/>
  <c r="H107" i="39"/>
  <c r="H115" i="39"/>
  <c r="H91" i="39"/>
  <c r="H113" i="39"/>
  <c r="H90" i="39"/>
  <c r="H116" i="39"/>
  <c r="H88" i="39"/>
  <c r="H102" i="39"/>
  <c r="H104" i="39"/>
  <c r="H111" i="39"/>
  <c r="H93" i="39"/>
  <c r="H92" i="39"/>
  <c r="H101" i="39"/>
  <c r="H95" i="39"/>
  <c r="H110" i="39"/>
  <c r="H119" i="39"/>
  <c r="H89" i="39"/>
  <c r="H98" i="39"/>
  <c r="H87" i="39"/>
  <c r="H100" i="39"/>
  <c r="H86" i="39"/>
  <c r="H117" i="39"/>
  <c r="H108" i="39"/>
  <c r="H94" i="39"/>
  <c r="H112" i="39"/>
  <c r="H114" i="39"/>
  <c r="H118" i="39"/>
  <c r="H106" i="39"/>
  <c r="H105" i="39"/>
  <c r="H96" i="39"/>
  <c r="H109" i="39"/>
  <c r="H85" i="39"/>
  <c r="H97" i="39"/>
  <c r="H103" i="39"/>
  <c r="H63" i="39"/>
  <c r="H71" i="39"/>
  <c r="H47" i="39"/>
  <c r="H55" i="39"/>
  <c r="H79" i="39"/>
  <c r="H58" i="39"/>
  <c r="H74" i="39"/>
  <c r="H50" i="39"/>
  <c r="H66" i="39"/>
  <c r="H46" i="39"/>
  <c r="H48" i="39"/>
  <c r="H56" i="39"/>
  <c r="H68" i="39"/>
  <c r="H75" i="39"/>
  <c r="H69" i="39"/>
  <c r="H54" i="39"/>
  <c r="H49" i="39"/>
  <c r="H64" i="39"/>
  <c r="H52" i="39"/>
  <c r="H70" i="39"/>
  <c r="H65" i="39"/>
  <c r="H59" i="39"/>
  <c r="H76" i="39"/>
  <c r="H77" i="39"/>
  <c r="H62" i="39"/>
  <c r="H57" i="39"/>
  <c r="H51" i="39"/>
  <c r="H60" i="39"/>
  <c r="H61" i="39"/>
  <c r="H53" i="39"/>
  <c r="H78" i="39"/>
  <c r="H80" i="39"/>
  <c r="H73" i="39"/>
  <c r="H67" i="39"/>
  <c r="H72" i="39"/>
  <c r="H84" i="39"/>
  <c r="H45" i="39"/>
  <c r="B44" i="39"/>
  <c r="C248" i="34" l="1"/>
  <c r="C225" i="34"/>
  <c r="D225" i="34"/>
  <c r="C226" i="34"/>
  <c r="D226" i="34"/>
  <c r="C227" i="34"/>
  <c r="D227" i="34"/>
  <c r="D224" i="34"/>
  <c r="C224" i="34"/>
  <c r="D189" i="34"/>
  <c r="C189" i="34"/>
  <c r="C205" i="34"/>
  <c r="D205" i="34"/>
  <c r="C206" i="34"/>
  <c r="D206" i="34"/>
  <c r="D204" i="34"/>
  <c r="C204" i="34"/>
  <c r="C89" i="34"/>
  <c r="C88" i="34"/>
  <c r="D184" i="34"/>
  <c r="D185" i="34"/>
  <c r="C185" i="34"/>
  <c r="C184" i="34"/>
  <c r="C166" i="34"/>
  <c r="D166" i="34"/>
  <c r="D165" i="34"/>
  <c r="C165" i="34"/>
  <c r="C147" i="34"/>
  <c r="D147" i="34"/>
  <c r="D146" i="34"/>
  <c r="C146" i="34"/>
  <c r="C108" i="34"/>
  <c r="D108" i="34"/>
  <c r="C109" i="34"/>
  <c r="D109" i="34"/>
  <c r="C110" i="34"/>
  <c r="D110" i="34"/>
  <c r="D107" i="34"/>
  <c r="C107" i="34"/>
  <c r="C80" i="34"/>
  <c r="D80" i="34"/>
  <c r="C81" i="34"/>
  <c r="D81" i="34"/>
  <c r="C82" i="34"/>
  <c r="D82" i="34"/>
  <c r="C83" i="34"/>
  <c r="D83" i="34"/>
  <c r="C84" i="34"/>
  <c r="D84" i="34"/>
  <c r="D79" i="34"/>
  <c r="C79" i="34"/>
  <c r="C56" i="34"/>
  <c r="D56" i="34"/>
  <c r="C57" i="34"/>
  <c r="D57" i="34"/>
  <c r="D55" i="34"/>
  <c r="C55" i="34"/>
  <c r="C32" i="34"/>
  <c r="D32" i="34"/>
  <c r="C33" i="34"/>
  <c r="D33" i="34"/>
  <c r="D31" i="34"/>
  <c r="C31" i="34"/>
  <c r="D12" i="34"/>
  <c r="D11" i="34"/>
  <c r="D10" i="34"/>
  <c r="C12" i="34"/>
  <c r="C11" i="34"/>
  <c r="C10" i="34"/>
  <c r="D16" i="34"/>
  <c r="C16" i="34"/>
  <c r="C38" i="34"/>
  <c r="D38" i="34"/>
  <c r="C39" i="34"/>
  <c r="D39" i="34"/>
  <c r="C40" i="34"/>
  <c r="D40" i="34"/>
  <c r="D37" i="34"/>
  <c r="C37" i="34"/>
  <c r="C62" i="34"/>
  <c r="D62" i="34"/>
  <c r="C63" i="34"/>
  <c r="D63" i="34"/>
  <c r="C64" i="34"/>
  <c r="D64" i="34"/>
  <c r="D61" i="34"/>
  <c r="C61" i="34"/>
  <c r="D92" i="34"/>
  <c r="C92" i="34"/>
  <c r="C9" i="36" l="1"/>
  <c r="C9" i="37" l="1"/>
  <c r="C11" i="37"/>
  <c r="C10" i="45" l="1"/>
  <c r="C48" i="31"/>
  <c r="C63" i="31"/>
  <c r="C64" i="31"/>
  <c r="D64" i="31" s="1"/>
  <c r="C65" i="31"/>
  <c r="D65" i="31" s="1"/>
  <c r="C66" i="31"/>
  <c r="D66" i="31" s="1"/>
  <c r="C62" i="31"/>
  <c r="D62" i="31" s="1"/>
  <c r="C46" i="31"/>
  <c r="C47" i="31"/>
  <c r="D47" i="31" s="1"/>
  <c r="C49" i="31"/>
  <c r="C50" i="31"/>
  <c r="D50" i="31" s="1"/>
  <c r="C51" i="31"/>
  <c r="C52" i="31"/>
  <c r="D52" i="31" s="1"/>
  <c r="C53" i="31"/>
  <c r="C54" i="31"/>
  <c r="D54" i="31" s="1"/>
  <c r="C55" i="31"/>
  <c r="D55" i="31"/>
  <c r="C56" i="31"/>
  <c r="D56" i="31" s="1"/>
  <c r="C57" i="31"/>
  <c r="D57" i="31" s="1"/>
  <c r="C58" i="31"/>
  <c r="D58" i="31" s="1"/>
  <c r="C59" i="31"/>
  <c r="D59" i="31"/>
  <c r="C60" i="31"/>
  <c r="D60" i="31" s="1"/>
  <c r="C61" i="31"/>
  <c r="D61" i="31"/>
  <c r="C45" i="31"/>
  <c r="C70" i="45"/>
  <c r="C67" i="45"/>
  <c r="C55" i="45"/>
  <c r="C52" i="45"/>
  <c r="C49" i="45"/>
  <c r="C46" i="45"/>
  <c r="C43" i="45"/>
  <c r="C40" i="45"/>
  <c r="C37" i="45"/>
  <c r="C34" i="45"/>
  <c r="C31" i="45"/>
  <c r="C28" i="45"/>
  <c r="C22" i="45"/>
  <c r="C19" i="45"/>
  <c r="C16" i="45"/>
  <c r="C13" i="45"/>
  <c r="C7" i="45"/>
  <c r="C40" i="44"/>
  <c r="C37" i="44"/>
  <c r="C25" i="44"/>
  <c r="C31" i="44"/>
  <c r="C28" i="44"/>
  <c r="C22" i="44"/>
  <c r="C19" i="44"/>
  <c r="C10" i="44"/>
  <c r="C7" i="44"/>
  <c r="B9" i="22"/>
  <c r="B10" i="22"/>
  <c r="B11" i="22"/>
  <c r="B12" i="22"/>
  <c r="B8" i="22"/>
  <c r="C9" i="22"/>
  <c r="C10" i="22"/>
  <c r="C11" i="22"/>
  <c r="C12" i="22"/>
  <c r="C8" i="22"/>
  <c r="B10" i="20"/>
  <c r="B11" i="20"/>
  <c r="B24" i="20"/>
  <c r="B9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8" i="20"/>
  <c r="C8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12" i="20"/>
  <c r="C9" i="20"/>
  <c r="B9" i="21"/>
  <c r="B10" i="21"/>
  <c r="B11" i="21"/>
  <c r="B12" i="21"/>
  <c r="B13" i="21"/>
  <c r="B14" i="21"/>
  <c r="C23" i="31" s="1"/>
  <c r="B15" i="21"/>
  <c r="B16" i="21"/>
  <c r="B17" i="21"/>
  <c r="B18" i="21"/>
  <c r="B19" i="21"/>
  <c r="B8" i="21"/>
  <c r="C20" i="31" s="1"/>
  <c r="C9" i="21"/>
  <c r="C10" i="21"/>
  <c r="C11" i="21"/>
  <c r="C12" i="21"/>
  <c r="C13" i="21"/>
  <c r="C14" i="21"/>
  <c r="C15" i="21"/>
  <c r="C16" i="21"/>
  <c r="C17" i="21"/>
  <c r="C18" i="21"/>
  <c r="C19" i="21"/>
  <c r="C8" i="21"/>
  <c r="C15" i="31" l="1"/>
  <c r="C25" i="31"/>
  <c r="C24" i="31"/>
  <c r="C19" i="31"/>
  <c r="C22" i="31"/>
  <c r="C18" i="31"/>
  <c r="C21" i="31"/>
  <c r="G21" i="31" s="1"/>
  <c r="C17" i="31"/>
  <c r="C16" i="31"/>
  <c r="C26" i="31"/>
  <c r="D45" i="31"/>
  <c r="G48" i="31"/>
  <c r="D48" i="31"/>
  <c r="D46" i="31"/>
  <c r="D51" i="31"/>
  <c r="D49" i="31"/>
  <c r="D63" i="31"/>
  <c r="D53" i="31"/>
  <c r="G46" i="31"/>
  <c r="G61" i="31"/>
  <c r="G51" i="31"/>
  <c r="G49" i="31"/>
  <c r="G23" i="31"/>
  <c r="G19" i="31"/>
  <c r="G18" i="31"/>
  <c r="G22" i="31"/>
  <c r="G25" i="31"/>
  <c r="G24" i="31"/>
  <c r="G26" i="31"/>
  <c r="G20" i="31"/>
  <c r="G17" i="31"/>
  <c r="G16" i="31"/>
  <c r="G15" i="31"/>
  <c r="J8" i="21"/>
  <c r="C11" i="20"/>
  <c r="C10" i="20"/>
  <c r="H15" i="20"/>
  <c r="E58" i="20"/>
  <c r="G9" i="20"/>
  <c r="G8" i="20"/>
  <c r="F9" i="20"/>
  <c r="F8" i="20"/>
  <c r="E9" i="20"/>
  <c r="H9" i="20" s="1"/>
  <c r="E8" i="20"/>
  <c r="D9" i="20"/>
  <c r="D8" i="20"/>
  <c r="G10" i="20"/>
  <c r="F10" i="20"/>
  <c r="H10" i="20" s="1"/>
  <c r="F16" i="20"/>
  <c r="E10" i="20"/>
  <c r="E11" i="20"/>
  <c r="F11" i="20"/>
  <c r="H11" i="20" s="1"/>
  <c r="G11" i="20"/>
  <c r="E12" i="20"/>
  <c r="H12" i="20" s="1"/>
  <c r="F12" i="20"/>
  <c r="G12" i="20"/>
  <c r="E13" i="20"/>
  <c r="H13" i="20" s="1"/>
  <c r="F13" i="20"/>
  <c r="G13" i="20"/>
  <c r="E14" i="20"/>
  <c r="H14" i="20" s="1"/>
  <c r="F14" i="20"/>
  <c r="G14" i="20"/>
  <c r="E15" i="20"/>
  <c r="F15" i="20"/>
  <c r="G15" i="20"/>
  <c r="E16" i="20"/>
  <c r="H16" i="20" s="1"/>
  <c r="G16" i="20"/>
  <c r="E17" i="20"/>
  <c r="H17" i="20" s="1"/>
  <c r="F17" i="20"/>
  <c r="G17" i="20"/>
  <c r="E18" i="20"/>
  <c r="H18" i="20" s="1"/>
  <c r="F18" i="20"/>
  <c r="G18" i="20"/>
  <c r="E19" i="20"/>
  <c r="F19" i="20"/>
  <c r="G19" i="20"/>
  <c r="H19" i="20" s="1"/>
  <c r="E20" i="20"/>
  <c r="H20" i="20" s="1"/>
  <c r="F20" i="20"/>
  <c r="G20" i="20"/>
  <c r="E21" i="20"/>
  <c r="H21" i="20" s="1"/>
  <c r="F21" i="20"/>
  <c r="G21" i="20"/>
  <c r="E22" i="20"/>
  <c r="H22" i="20" s="1"/>
  <c r="F22" i="20"/>
  <c r="G22" i="20"/>
  <c r="E23" i="20"/>
  <c r="F23" i="20"/>
  <c r="G23" i="20"/>
  <c r="H23" i="20" s="1"/>
  <c r="E24" i="20"/>
  <c r="H24" i="20" s="1"/>
  <c r="F24" i="20"/>
  <c r="G24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L8" i="22"/>
  <c r="K8" i="22"/>
  <c r="K9" i="22"/>
  <c r="K10" i="22"/>
  <c r="K11" i="22"/>
  <c r="K12" i="22"/>
  <c r="F12" i="22"/>
  <c r="I8" i="22"/>
  <c r="J8" i="22"/>
  <c r="I9" i="22"/>
  <c r="J9" i="22"/>
  <c r="I10" i="22"/>
  <c r="J10" i="22"/>
  <c r="I11" i="22"/>
  <c r="J11" i="22"/>
  <c r="I12" i="22"/>
  <c r="J12" i="22"/>
  <c r="H8" i="22"/>
  <c r="E9" i="22"/>
  <c r="F9" i="22"/>
  <c r="G9" i="22"/>
  <c r="H9" i="22"/>
  <c r="E10" i="22"/>
  <c r="F10" i="22"/>
  <c r="G10" i="22"/>
  <c r="H10" i="22"/>
  <c r="E11" i="22"/>
  <c r="F11" i="22"/>
  <c r="G11" i="22"/>
  <c r="H11" i="22"/>
  <c r="E12" i="22"/>
  <c r="G12" i="22"/>
  <c r="H12" i="22"/>
  <c r="D12" i="22"/>
  <c r="L12" i="22" s="1"/>
  <c r="D11" i="22"/>
  <c r="L11" i="22" s="1"/>
  <c r="D10" i="22"/>
  <c r="L10" i="22" s="1"/>
  <c r="D9" i="22"/>
  <c r="L9" i="22" s="1"/>
  <c r="G8" i="22"/>
  <c r="F8" i="22"/>
  <c r="E8" i="22"/>
  <c r="D8" i="22"/>
  <c r="E35" i="22"/>
  <c r="E31" i="22"/>
  <c r="E27" i="22"/>
  <c r="E23" i="22"/>
  <c r="E19" i="22"/>
  <c r="E95" i="20"/>
  <c r="E91" i="20"/>
  <c r="E87" i="20"/>
  <c r="E83" i="20"/>
  <c r="G53" i="31" l="1"/>
  <c r="G55" i="31"/>
  <c r="G57" i="31"/>
  <c r="G59" i="31"/>
  <c r="G52" i="31"/>
  <c r="G56" i="31"/>
  <c r="G54" i="31"/>
  <c r="G58" i="31"/>
  <c r="G60" i="31"/>
  <c r="G47" i="31"/>
  <c r="G50" i="31"/>
  <c r="G27" i="31"/>
  <c r="J17" i="21"/>
  <c r="J14" i="21"/>
  <c r="J13" i="21"/>
  <c r="J19" i="21"/>
  <c r="J18" i="21"/>
  <c r="J16" i="21"/>
  <c r="J12" i="21"/>
  <c r="J15" i="21"/>
  <c r="J11" i="21"/>
  <c r="J10" i="21"/>
  <c r="J9" i="21"/>
  <c r="H8" i="20"/>
  <c r="E79" i="20"/>
  <c r="E75" i="20"/>
  <c r="E71" i="20"/>
  <c r="E67" i="20"/>
  <c r="E63" i="20"/>
  <c r="E59" i="20"/>
  <c r="E55" i="20"/>
  <c r="E51" i="20"/>
  <c r="E47" i="20"/>
  <c r="E43" i="20"/>
  <c r="E39" i="20"/>
  <c r="E35" i="20"/>
  <c r="E31" i="20"/>
  <c r="J12" i="18"/>
  <c r="E27" i="26" l="1"/>
  <c r="E14" i="26"/>
  <c r="F9" i="1" l="1"/>
  <c r="G84" i="34"/>
  <c r="B47" i="11" l="1"/>
  <c r="B45" i="11"/>
  <c r="E18" i="23"/>
  <c r="E16" i="23"/>
  <c r="E13" i="23"/>
  <c r="E9" i="23"/>
  <c r="B361" i="39"/>
  <c r="B365" i="39"/>
  <c r="E366" i="39"/>
  <c r="E362" i="39"/>
  <c r="H362" i="39" s="1"/>
  <c r="D266" i="34"/>
  <c r="C266" i="34"/>
  <c r="D248" i="34"/>
  <c r="J45" i="11" l="1"/>
  <c r="BL45" i="11"/>
  <c r="AH45" i="11"/>
  <c r="AG45" i="11"/>
  <c r="AF45" i="11"/>
  <c r="AE45" i="11"/>
  <c r="AK45" i="11"/>
  <c r="AC45" i="11"/>
  <c r="AD45" i="11"/>
  <c r="AJ45" i="11"/>
  <c r="AN45" i="11"/>
  <c r="AL45" i="11"/>
  <c r="AM45" i="11"/>
  <c r="AI45" i="11"/>
  <c r="E363" i="39"/>
  <c r="F16" i="1" s="1"/>
  <c r="G43" i="32" s="1"/>
  <c r="E367" i="39"/>
  <c r="F17" i="1" s="1"/>
  <c r="G270" i="34"/>
  <c r="G252" i="34"/>
  <c r="G54" i="18"/>
  <c r="H9" i="17"/>
  <c r="H10" i="17"/>
  <c r="H11" i="17"/>
  <c r="H12" i="17"/>
  <c r="H13" i="17"/>
  <c r="H14" i="17"/>
  <c r="H8" i="17"/>
  <c r="E9" i="43"/>
  <c r="E266" i="34" s="1"/>
  <c r="E8" i="42"/>
  <c r="E248" i="34" s="1"/>
  <c r="AB45" i="11" l="1"/>
  <c r="T45" i="11"/>
  <c r="W45" i="11"/>
  <c r="U45" i="11"/>
  <c r="AA45" i="11"/>
  <c r="S45" i="11"/>
  <c r="Z45" i="11"/>
  <c r="R45" i="11"/>
  <c r="Y45" i="11"/>
  <c r="Q45" i="11"/>
  <c r="V45" i="11"/>
  <c r="X45" i="11"/>
  <c r="H45" i="11"/>
  <c r="P45" i="11"/>
  <c r="AV45" i="11"/>
  <c r="F45" i="11"/>
  <c r="I45" i="11"/>
  <c r="AO45" i="11"/>
  <c r="AW45" i="11"/>
  <c r="AS45" i="11"/>
  <c r="AP45" i="11"/>
  <c r="AX45" i="11"/>
  <c r="M45" i="11"/>
  <c r="G45" i="11"/>
  <c r="K45" i="11"/>
  <c r="AQ45" i="11"/>
  <c r="AY45" i="11"/>
  <c r="E45" i="11"/>
  <c r="AT45" i="11"/>
  <c r="L45" i="11"/>
  <c r="AR45" i="11"/>
  <c r="AZ45" i="11"/>
  <c r="N45" i="11"/>
  <c r="O45" i="11"/>
  <c r="AU45" i="11"/>
  <c r="G266" i="34"/>
  <c r="G267" i="34" s="1"/>
  <c r="G271" i="34" s="1"/>
  <c r="G274" i="34" s="1"/>
  <c r="F260" i="34" s="1"/>
  <c r="G248" i="34"/>
  <c r="G249" i="34" s="1"/>
  <c r="G253" i="34" s="1"/>
  <c r="G256" i="34" s="1"/>
  <c r="F242" i="34" s="1"/>
  <c r="G16" i="1" s="1"/>
  <c r="E11" i="33"/>
  <c r="E13" i="33" s="1"/>
  <c r="G138" i="34" s="1"/>
  <c r="B322" i="39"/>
  <c r="B283" i="39"/>
  <c r="B244" i="39"/>
  <c r="B205" i="39"/>
  <c r="B166" i="39"/>
  <c r="B161" i="39"/>
  <c r="B122" i="39"/>
  <c r="B83" i="39"/>
  <c r="E164" i="39"/>
  <c r="F10" i="1" s="1"/>
  <c r="E6" i="39"/>
  <c r="E42" i="39" s="1"/>
  <c r="H6" i="39" s="1"/>
  <c r="B5" i="39"/>
  <c r="E9" i="37"/>
  <c r="E224" i="34" s="1"/>
  <c r="C15" i="37"/>
  <c r="E15" i="37" s="1"/>
  <c r="E227" i="34" s="1"/>
  <c r="C13" i="37"/>
  <c r="E13" i="37" s="1"/>
  <c r="E226" i="34" s="1"/>
  <c r="E11" i="37"/>
  <c r="E225" i="34" s="1"/>
  <c r="E9" i="36"/>
  <c r="E204" i="34" s="1"/>
  <c r="C11" i="36"/>
  <c r="C13" i="36"/>
  <c r="E13" i="36" s="1"/>
  <c r="E206" i="34" s="1"/>
  <c r="E11" i="36"/>
  <c r="E205" i="34" s="1"/>
  <c r="G235" i="34"/>
  <c r="G214" i="34"/>
  <c r="G92" i="34"/>
  <c r="F7" i="1" l="1"/>
  <c r="G17" i="1"/>
  <c r="K17" i="1" s="1"/>
  <c r="G273" i="34"/>
  <c r="G255" i="34"/>
  <c r="G216" i="34"/>
  <c r="K16" i="1"/>
  <c r="G237" i="34"/>
  <c r="F15" i="1"/>
  <c r="F14" i="1"/>
  <c r="F13" i="1"/>
  <c r="F12" i="1"/>
  <c r="F11" i="1"/>
  <c r="F8" i="1"/>
  <c r="G225" i="34"/>
  <c r="G204" i="34"/>
  <c r="G196" i="34"/>
  <c r="G194" i="34"/>
  <c r="E166" i="34"/>
  <c r="E165" i="34"/>
  <c r="G176" i="34"/>
  <c r="G174" i="34"/>
  <c r="E147" i="34"/>
  <c r="E146" i="34"/>
  <c r="G157" i="34"/>
  <c r="G120" i="34"/>
  <c r="D89" i="34"/>
  <c r="C90" i="34"/>
  <c r="D90" i="34"/>
  <c r="C91" i="34"/>
  <c r="D91" i="34"/>
  <c r="D88" i="34"/>
  <c r="G99" i="34"/>
  <c r="G71" i="34"/>
  <c r="G47" i="34"/>
  <c r="G23" i="34"/>
  <c r="F6" i="1" l="1"/>
  <c r="H35" i="39"/>
  <c r="H27" i="39"/>
  <c r="H11" i="39"/>
  <c r="H19" i="39"/>
  <c r="H14" i="39"/>
  <c r="H30" i="39"/>
  <c r="H38" i="39"/>
  <c r="H22" i="39"/>
  <c r="H37" i="39"/>
  <c r="H9" i="39"/>
  <c r="H40" i="39"/>
  <c r="H15" i="39"/>
  <c r="H23" i="39"/>
  <c r="H18" i="39"/>
  <c r="H20" i="39"/>
  <c r="H12" i="39"/>
  <c r="H31" i="39"/>
  <c r="H24" i="39"/>
  <c r="H7" i="39"/>
  <c r="H34" i="39"/>
  <c r="H29" i="39"/>
  <c r="H26" i="39"/>
  <c r="H8" i="39"/>
  <c r="H32" i="39"/>
  <c r="H16" i="39"/>
  <c r="H28" i="39"/>
  <c r="H33" i="39"/>
  <c r="H39" i="39"/>
  <c r="H21" i="39"/>
  <c r="H36" i="39"/>
  <c r="H41" i="39"/>
  <c r="H13" i="39"/>
  <c r="H25" i="39"/>
  <c r="H10" i="39"/>
  <c r="H17" i="39"/>
  <c r="G155" i="34"/>
  <c r="G118" i="34"/>
  <c r="G146" i="34" l="1"/>
  <c r="G11" i="34"/>
  <c r="G34" i="32"/>
  <c r="G15" i="32" l="1"/>
  <c r="D9" i="32"/>
  <c r="C9" i="32"/>
  <c r="D8" i="32"/>
  <c r="C8" i="32"/>
  <c r="G66" i="31"/>
  <c r="G71" i="31"/>
  <c r="G70" i="31"/>
  <c r="G41" i="31"/>
  <c r="G40" i="31"/>
  <c r="G31" i="31"/>
  <c r="G30" i="31"/>
  <c r="G11" i="31"/>
  <c r="G10" i="31"/>
  <c r="C13" i="30"/>
  <c r="E13" i="30" s="1"/>
  <c r="E189" i="34" s="1"/>
  <c r="C11" i="30"/>
  <c r="E11" i="30" s="1"/>
  <c r="E185" i="34" s="1"/>
  <c r="C9" i="30"/>
  <c r="E9" i="30" s="1"/>
  <c r="E184" i="34" s="1"/>
  <c r="G72" i="31" l="1"/>
  <c r="G32" i="31"/>
  <c r="G42" i="31"/>
  <c r="G12" i="31"/>
  <c r="G62" i="31"/>
  <c r="G65" i="31"/>
  <c r="G63" i="31"/>
  <c r="E19" i="26" l="1"/>
  <c r="E18" i="26"/>
  <c r="E16" i="26"/>
  <c r="E12" i="26"/>
  <c r="E10" i="26"/>
  <c r="E8" i="26"/>
  <c r="G79" i="34" s="1"/>
  <c r="G64" i="31"/>
  <c r="G45" i="31"/>
  <c r="G67" i="31" s="1"/>
  <c r="G39" i="34" l="1"/>
  <c r="G63" i="34"/>
  <c r="G61" i="34"/>
  <c r="G37" i="34"/>
  <c r="G189" i="34"/>
  <c r="G56" i="34"/>
  <c r="G166" i="34"/>
  <c r="G108" i="34"/>
  <c r="G33" i="34"/>
  <c r="G109" i="34"/>
  <c r="G32" i="34"/>
  <c r="G10" i="34"/>
  <c r="G55" i="34"/>
  <c r="G31" i="34"/>
  <c r="G165" i="34"/>
  <c r="G107" i="34"/>
  <c r="G205" i="34"/>
  <c r="G227" i="34"/>
  <c r="G65" i="18"/>
  <c r="G48" i="18"/>
  <c r="G33" i="18"/>
  <c r="G23" i="18"/>
  <c r="G12" i="18"/>
  <c r="G13" i="32" s="1"/>
  <c r="G28" i="18"/>
  <c r="G38" i="18"/>
  <c r="G70" i="18"/>
  <c r="G74" i="31"/>
  <c r="G37" i="31" s="1"/>
  <c r="G26" i="32" s="1"/>
  <c r="G18" i="18"/>
  <c r="G14" i="32" s="1"/>
  <c r="G43" i="18"/>
  <c r="G60" i="18"/>
  <c r="G88" i="34"/>
  <c r="E20" i="26"/>
  <c r="E21" i="26"/>
  <c r="E22" i="26"/>
  <c r="E23" i="26"/>
  <c r="E24" i="26"/>
  <c r="G90" i="34" s="1"/>
  <c r="E25" i="26"/>
  <c r="G91" i="34" s="1"/>
  <c r="G89" i="34"/>
  <c r="G16" i="34"/>
  <c r="G17" i="34" s="1"/>
  <c r="G21" i="34" s="1"/>
  <c r="G62" i="34"/>
  <c r="G38" i="34"/>
  <c r="G8" i="32"/>
  <c r="G9" i="32"/>
  <c r="D8" i="19" l="1"/>
  <c r="F8" i="19" s="1"/>
  <c r="G8" i="19" s="1"/>
  <c r="G19" i="32" s="1"/>
  <c r="D10" i="19"/>
  <c r="F10" i="19" s="1"/>
  <c r="G10" i="19" s="1"/>
  <c r="G20" i="32" s="1"/>
  <c r="D12" i="19"/>
  <c r="F12" i="19" s="1"/>
  <c r="G12" i="19" s="1"/>
  <c r="G21" i="32" s="1"/>
  <c r="D18" i="19"/>
  <c r="F18" i="19" s="1"/>
  <c r="G18" i="19" s="1"/>
  <c r="G35" i="32" s="1"/>
  <c r="G36" i="32" s="1"/>
  <c r="D20" i="19"/>
  <c r="F20" i="19" s="1"/>
  <c r="G20" i="19" s="1"/>
  <c r="G39" i="32" s="1"/>
  <c r="G40" i="32" s="1"/>
  <c r="D22" i="19"/>
  <c r="F22" i="19" s="1"/>
  <c r="G22" i="19" s="1"/>
  <c r="G40" i="34" s="1"/>
  <c r="G206" i="34"/>
  <c r="G207" i="34" s="1"/>
  <c r="G213" i="34" s="1"/>
  <c r="G147" i="34"/>
  <c r="G148" i="34" s="1"/>
  <c r="G154" i="34" s="1"/>
  <c r="G81" i="34"/>
  <c r="G185" i="34"/>
  <c r="G184" i="34"/>
  <c r="G57" i="34"/>
  <c r="G58" i="34" s="1"/>
  <c r="G68" i="34" s="1"/>
  <c r="G110" i="34"/>
  <c r="G111" i="34" s="1"/>
  <c r="G117" i="34" s="1"/>
  <c r="G80" i="34"/>
  <c r="G12" i="34"/>
  <c r="G13" i="34" s="1"/>
  <c r="G20" i="34" s="1"/>
  <c r="G24" i="34" s="1"/>
  <c r="F7" i="34" s="1"/>
  <c r="G6" i="1" s="1"/>
  <c r="G22" i="32"/>
  <c r="G16" i="32"/>
  <c r="G55" i="18"/>
  <c r="G64" i="34"/>
  <c r="G65" i="34" s="1"/>
  <c r="G69" i="34" s="1"/>
  <c r="G49" i="18"/>
  <c r="G34" i="31"/>
  <c r="G93" i="34"/>
  <c r="G97" i="34" s="1"/>
  <c r="G82" i="34"/>
  <c r="G83" i="34"/>
  <c r="G224" i="34"/>
  <c r="G226" i="34"/>
  <c r="G34" i="34"/>
  <c r="G44" i="34" s="1"/>
  <c r="G167" i="34"/>
  <c r="G173" i="34" s="1"/>
  <c r="G177" i="34" s="1"/>
  <c r="F162" i="34" s="1"/>
  <c r="G12" i="1" s="1"/>
  <c r="G41" i="34"/>
  <c r="G45" i="34" s="1"/>
  <c r="G10" i="32"/>
  <c r="B41" i="11"/>
  <c r="B37" i="11"/>
  <c r="B33" i="11"/>
  <c r="B29" i="11"/>
  <c r="B25" i="11"/>
  <c r="B23" i="11"/>
  <c r="B19" i="11"/>
  <c r="B15" i="11"/>
  <c r="B11" i="11"/>
  <c r="B7" i="11"/>
  <c r="D14" i="19" l="1"/>
  <c r="F14" i="19" s="1"/>
  <c r="G14" i="19" s="1"/>
  <c r="D16" i="19"/>
  <c r="F16" i="19" s="1"/>
  <c r="G16" i="19" s="1"/>
  <c r="G30" i="32"/>
  <c r="G31" i="32" s="1"/>
  <c r="G128" i="34"/>
  <c r="G7" i="31"/>
  <c r="G25" i="32" s="1"/>
  <c r="G27" i="32" s="1"/>
  <c r="G42" i="32" s="1"/>
  <c r="G44" i="32" s="1"/>
  <c r="K6" i="1"/>
  <c r="G85" i="34"/>
  <c r="G96" i="34" s="1"/>
  <c r="G100" i="34" s="1"/>
  <c r="F76" i="34" s="1"/>
  <c r="G9" i="1" s="1"/>
  <c r="G217" i="34"/>
  <c r="F201" i="34" s="1"/>
  <c r="G14" i="1" s="1"/>
  <c r="G228" i="34"/>
  <c r="G234" i="34" s="1"/>
  <c r="G121" i="34"/>
  <c r="F104" i="34" s="1"/>
  <c r="G158" i="34"/>
  <c r="F143" i="34" s="1"/>
  <c r="G11" i="1" s="1"/>
  <c r="G186" i="34"/>
  <c r="G193" i="34" s="1"/>
  <c r="G72" i="34"/>
  <c r="F52" i="34" s="1"/>
  <c r="G48" i="34"/>
  <c r="F28" i="34" s="1"/>
  <c r="K12" i="1"/>
  <c r="G129" i="34" l="1"/>
  <c r="G135" i="34" s="1"/>
  <c r="G139" i="34" s="1"/>
  <c r="F125" i="34" s="1"/>
  <c r="G10" i="1" s="1"/>
  <c r="K10" i="1" s="1"/>
  <c r="G7" i="1"/>
  <c r="K7" i="1" s="1"/>
  <c r="G8" i="1"/>
  <c r="K8" i="1" s="1"/>
  <c r="G238" i="34"/>
  <c r="F221" i="34" s="1"/>
  <c r="G15" i="1" s="1"/>
  <c r="K14" i="1"/>
  <c r="K11" i="1"/>
  <c r="K9" i="1"/>
  <c r="G197" i="34"/>
  <c r="F181" i="34" s="1"/>
  <c r="G13" i="1" l="1"/>
  <c r="K13" i="1" s="1"/>
  <c r="K15" i="1"/>
  <c r="K19" i="1" l="1"/>
  <c r="G45" i="32" s="1"/>
  <c r="G46" i="32" s="1"/>
  <c r="E12" i="33" l="1"/>
  <c r="G137" i="34" s="1"/>
  <c r="G140" i="34" s="1"/>
  <c r="G125" i="34" s="1"/>
  <c r="F30" i="33"/>
  <c r="G46" i="34" l="1"/>
  <c r="G49" i="34" s="1"/>
  <c r="G28" i="34" s="1"/>
  <c r="H7" i="1" s="1"/>
  <c r="I7" i="1" s="1"/>
  <c r="G70" i="34"/>
  <c r="G73" i="34" s="1"/>
  <c r="G52" i="34" s="1"/>
  <c r="H8" i="1" s="1"/>
  <c r="I8" i="1" s="1"/>
  <c r="G236" i="34"/>
  <c r="G239" i="34" s="1"/>
  <c r="G221" i="34" s="1"/>
  <c r="H15" i="1" s="1"/>
  <c r="I15" i="1" s="1"/>
  <c r="G22" i="34"/>
  <c r="G25" i="34" s="1"/>
  <c r="G7" i="34" s="1"/>
  <c r="H6" i="1" s="1"/>
  <c r="I6" i="1" s="1"/>
  <c r="G254" i="34"/>
  <c r="G257" i="34" s="1"/>
  <c r="G242" i="34" s="1"/>
  <c r="H16" i="1" s="1"/>
  <c r="I16" i="1" s="1"/>
  <c r="G156" i="34"/>
  <c r="G159" i="34" s="1"/>
  <c r="G143" i="34" s="1"/>
  <c r="H11" i="1" s="1"/>
  <c r="I11" i="1" s="1"/>
  <c r="G272" i="34"/>
  <c r="G275" i="34" s="1"/>
  <c r="G260" i="34" s="1"/>
  <c r="H17" i="1" s="1"/>
  <c r="I17" i="1" s="1"/>
  <c r="F2" i="1"/>
  <c r="G119" i="34"/>
  <c r="G122" i="34" s="1"/>
  <c r="G104" i="34" s="1"/>
  <c r="H10" i="1" s="1"/>
  <c r="I10" i="1" s="1"/>
  <c r="G98" i="34"/>
  <c r="G101" i="34" s="1"/>
  <c r="G76" i="34" s="1"/>
  <c r="H9" i="1" s="1"/>
  <c r="G215" i="34"/>
  <c r="G218" i="34" s="1"/>
  <c r="G201" i="34" s="1"/>
  <c r="H14" i="1" s="1"/>
  <c r="I14" i="1" s="1"/>
  <c r="G195" i="34"/>
  <c r="G198" i="34" s="1"/>
  <c r="G181" i="34" s="1"/>
  <c r="H13" i="1" s="1"/>
  <c r="I13" i="1" s="1"/>
  <c r="G175" i="34"/>
  <c r="G178" i="34" s="1"/>
  <c r="G162" i="34" s="1"/>
  <c r="H12" i="1" s="1"/>
  <c r="I12" i="1" s="1"/>
  <c r="D7" i="11" l="1"/>
  <c r="D45" i="11"/>
  <c r="D15" i="11"/>
  <c r="D11" i="11"/>
  <c r="BG14" i="11" s="1"/>
  <c r="D37" i="11"/>
  <c r="D47" i="11"/>
  <c r="E48" i="11" s="1"/>
  <c r="D33" i="11"/>
  <c r="D41" i="11"/>
  <c r="D23" i="11"/>
  <c r="D29" i="11"/>
  <c r="D25" i="11"/>
  <c r="I9" i="1"/>
  <c r="I19" i="1" s="1"/>
  <c r="G40" i="11" l="1"/>
  <c r="Z40" i="11"/>
  <c r="BD48" i="11"/>
  <c r="BC48" i="11"/>
  <c r="BB48" i="11"/>
  <c r="BA48" i="11"/>
  <c r="BB28" i="11"/>
  <c r="BA28" i="11"/>
  <c r="BC28" i="11"/>
  <c r="BD28" i="11"/>
  <c r="BB46" i="11"/>
  <c r="BA46" i="11"/>
  <c r="BD46" i="11"/>
  <c r="BC46" i="11"/>
  <c r="BA44" i="11"/>
  <c r="BD44" i="11"/>
  <c r="BC44" i="11"/>
  <c r="BB44" i="11"/>
  <c r="BA36" i="11"/>
  <c r="BB36" i="11"/>
  <c r="BC36" i="11"/>
  <c r="BD36" i="11"/>
  <c r="BB40" i="11"/>
  <c r="BA40" i="11"/>
  <c r="BC40" i="11"/>
  <c r="BD40" i="11"/>
  <c r="BA14" i="11"/>
  <c r="BD14" i="11"/>
  <c r="BB14" i="11"/>
  <c r="BC14" i="11"/>
  <c r="BA18" i="11"/>
  <c r="BB18" i="11"/>
  <c r="BD18" i="11"/>
  <c r="BC18" i="11"/>
  <c r="BB32" i="11"/>
  <c r="BC32" i="11"/>
  <c r="BD32" i="11"/>
  <c r="BA32" i="11"/>
  <c r="BA10" i="11"/>
  <c r="BB10" i="11"/>
  <c r="BC10" i="11"/>
  <c r="BD10" i="11"/>
  <c r="BF40" i="11"/>
  <c r="BG40" i="11"/>
  <c r="BE40" i="11"/>
  <c r="BH40" i="11"/>
  <c r="BG44" i="11"/>
  <c r="BF44" i="11"/>
  <c r="BE44" i="11"/>
  <c r="BH44" i="11"/>
  <c r="BF36" i="11"/>
  <c r="BG36" i="11"/>
  <c r="BE36" i="11"/>
  <c r="BH36" i="11"/>
  <c r="BH48" i="11"/>
  <c r="BG48" i="11"/>
  <c r="BF48" i="11"/>
  <c r="BE48" i="11"/>
  <c r="BF28" i="11"/>
  <c r="BG28" i="11"/>
  <c r="BE28" i="11"/>
  <c r="BH28" i="11"/>
  <c r="BF14" i="11"/>
  <c r="BE14" i="11"/>
  <c r="BH14" i="11"/>
  <c r="BF18" i="11"/>
  <c r="BG18" i="11"/>
  <c r="BE18" i="11"/>
  <c r="BH18" i="11"/>
  <c r="BE32" i="11"/>
  <c r="BG32" i="11"/>
  <c r="BH32" i="11"/>
  <c r="BF32" i="11"/>
  <c r="BF46" i="11"/>
  <c r="BH46" i="11"/>
  <c r="BG46" i="11"/>
  <c r="BE46" i="11"/>
  <c r="BG10" i="11"/>
  <c r="BF10" i="11"/>
  <c r="BE10" i="11"/>
  <c r="BH10" i="11"/>
  <c r="BK44" i="11"/>
  <c r="BI44" i="11"/>
  <c r="BJ44" i="11"/>
  <c r="BJ36" i="11"/>
  <c r="BI36" i="11"/>
  <c r="BJ48" i="11"/>
  <c r="BI48" i="11"/>
  <c r="BJ40" i="11"/>
  <c r="BI40" i="11"/>
  <c r="BJ14" i="11"/>
  <c r="BI14" i="11"/>
  <c r="BJ28" i="11"/>
  <c r="BI28" i="11"/>
  <c r="BJ18" i="11"/>
  <c r="BI18" i="11"/>
  <c r="BI32" i="11"/>
  <c r="BJ32" i="11"/>
  <c r="BJ46" i="11"/>
  <c r="BI46" i="11"/>
  <c r="BK10" i="11"/>
  <c r="BI10" i="11"/>
  <c r="BJ10" i="11"/>
  <c r="BL48" i="11"/>
  <c r="BK48" i="11"/>
  <c r="BL14" i="11"/>
  <c r="BK14" i="11"/>
  <c r="BL18" i="11"/>
  <c r="BK18" i="11"/>
  <c r="BL36" i="11"/>
  <c r="BK36" i="11"/>
  <c r="BL40" i="11"/>
  <c r="BK40" i="11"/>
  <c r="BL28" i="11"/>
  <c r="BK28" i="11"/>
  <c r="BL32" i="11"/>
  <c r="BK32" i="11"/>
  <c r="BL46" i="11"/>
  <c r="BK46" i="11"/>
  <c r="Z44" i="11"/>
  <c r="BL44" i="11"/>
  <c r="E10" i="11"/>
  <c r="BL10" i="11"/>
  <c r="AN14" i="11"/>
  <c r="AF14" i="11"/>
  <c r="AC14" i="11"/>
  <c r="AG14" i="11"/>
  <c r="AM14" i="11"/>
  <c r="AE14" i="11"/>
  <c r="AL14" i="11"/>
  <c r="AD14" i="11"/>
  <c r="AK14" i="11"/>
  <c r="AJ14" i="11"/>
  <c r="AH14" i="11"/>
  <c r="AI14" i="11"/>
  <c r="AJ44" i="11"/>
  <c r="AI44" i="11"/>
  <c r="AG44" i="11"/>
  <c r="AC44" i="11"/>
  <c r="AH44" i="11"/>
  <c r="AN44" i="11"/>
  <c r="AF44" i="11"/>
  <c r="AM44" i="11"/>
  <c r="AE44" i="11"/>
  <c r="AL44" i="11"/>
  <c r="AD44" i="11"/>
  <c r="AK44" i="11"/>
  <c r="AJ36" i="11"/>
  <c r="AI36" i="11"/>
  <c r="AH36" i="11"/>
  <c r="AG36" i="11"/>
  <c r="AN36" i="11"/>
  <c r="AF36" i="11"/>
  <c r="AD36" i="11"/>
  <c r="AK36" i="11"/>
  <c r="AM36" i="11"/>
  <c r="AE36" i="11"/>
  <c r="AL36" i="11"/>
  <c r="AC36" i="11"/>
  <c r="AN48" i="11"/>
  <c r="AF48" i="11"/>
  <c r="AG48" i="11"/>
  <c r="AM48" i="11"/>
  <c r="AE48" i="11"/>
  <c r="AC48" i="11"/>
  <c r="AL48" i="11"/>
  <c r="AD48" i="11"/>
  <c r="AK48" i="11"/>
  <c r="AJ48" i="11"/>
  <c r="AI48" i="11"/>
  <c r="AH48" i="11"/>
  <c r="AN40" i="11"/>
  <c r="AF40" i="11"/>
  <c r="AM40" i="11"/>
  <c r="AE40" i="11"/>
  <c r="AC40" i="11"/>
  <c r="AL40" i="11"/>
  <c r="AD40" i="11"/>
  <c r="AK40" i="11"/>
  <c r="AG40" i="11"/>
  <c r="AJ40" i="11"/>
  <c r="AH40" i="11"/>
  <c r="AI40" i="11"/>
  <c r="AJ28" i="11"/>
  <c r="AK28" i="11"/>
  <c r="AI28" i="11"/>
  <c r="AC28" i="11"/>
  <c r="AH28" i="11"/>
  <c r="AG28" i="11"/>
  <c r="AN28" i="11"/>
  <c r="AF28" i="11"/>
  <c r="AM28" i="11"/>
  <c r="AE28" i="11"/>
  <c r="AL28" i="11"/>
  <c r="AD28" i="11"/>
  <c r="AJ18" i="11"/>
  <c r="AI18" i="11"/>
  <c r="AC18" i="11"/>
  <c r="AH18" i="11"/>
  <c r="AG18" i="11"/>
  <c r="AN18" i="11"/>
  <c r="AF18" i="11"/>
  <c r="AL18" i="11"/>
  <c r="AM18" i="11"/>
  <c r="AE18" i="11"/>
  <c r="AD18" i="11"/>
  <c r="AK18" i="11"/>
  <c r="AN32" i="11"/>
  <c r="AF32" i="11"/>
  <c r="AK32" i="11"/>
  <c r="AM32" i="11"/>
  <c r="AE32" i="11"/>
  <c r="AC32" i="11"/>
  <c r="AL32" i="11"/>
  <c r="AD32" i="11"/>
  <c r="AG32" i="11"/>
  <c r="AJ32" i="11"/>
  <c r="AI32" i="11"/>
  <c r="AH32" i="11"/>
  <c r="AK46" i="11"/>
  <c r="AL46" i="11"/>
  <c r="AC46" i="11"/>
  <c r="AD46" i="11"/>
  <c r="AH46" i="11"/>
  <c r="AM46" i="11"/>
  <c r="AG46" i="11"/>
  <c r="AI46" i="11"/>
  <c r="AJ46" i="11"/>
  <c r="AF46" i="11"/>
  <c r="AE46" i="11"/>
  <c r="AN46" i="11"/>
  <c r="AJ10" i="11"/>
  <c r="AI10" i="11"/>
  <c r="AH10" i="11"/>
  <c r="AG10" i="11"/>
  <c r="AN10" i="11"/>
  <c r="AF10" i="11"/>
  <c r="AM10" i="11"/>
  <c r="AE10" i="11"/>
  <c r="AL10" i="11"/>
  <c r="AD10" i="11"/>
  <c r="AK10" i="11"/>
  <c r="AC10" i="11"/>
  <c r="P36" i="11"/>
  <c r="X36" i="11"/>
  <c r="Z36" i="11"/>
  <c r="W36" i="11"/>
  <c r="V36" i="11"/>
  <c r="U36" i="11"/>
  <c r="R36" i="11"/>
  <c r="AB36" i="11"/>
  <c r="T36" i="11"/>
  <c r="Y36" i="11"/>
  <c r="AA36" i="11"/>
  <c r="S36" i="11"/>
  <c r="Q36" i="11"/>
  <c r="P48" i="11"/>
  <c r="AB48" i="11"/>
  <c r="T48" i="11"/>
  <c r="V48" i="11"/>
  <c r="AA48" i="11"/>
  <c r="S48" i="11"/>
  <c r="U48" i="11"/>
  <c r="Z48" i="11"/>
  <c r="R48" i="11"/>
  <c r="Y48" i="11"/>
  <c r="Q48" i="11"/>
  <c r="X48" i="11"/>
  <c r="W48" i="11"/>
  <c r="P40" i="11"/>
  <c r="Q40" i="11"/>
  <c r="Y40" i="11"/>
  <c r="R40" i="11"/>
  <c r="AB40" i="11"/>
  <c r="T40" i="11"/>
  <c r="AA40" i="11"/>
  <c r="S40" i="11"/>
  <c r="U40" i="11"/>
  <c r="W40" i="11"/>
  <c r="X40" i="11"/>
  <c r="V40" i="11"/>
  <c r="P28" i="11"/>
  <c r="Z28" i="11"/>
  <c r="R28" i="11"/>
  <c r="Y28" i="11"/>
  <c r="Q28" i="11"/>
  <c r="AA28" i="11"/>
  <c r="X28" i="11"/>
  <c r="W28" i="11"/>
  <c r="S28" i="11"/>
  <c r="V28" i="11"/>
  <c r="T28" i="11"/>
  <c r="U28" i="11"/>
  <c r="AB28" i="11"/>
  <c r="P32" i="11"/>
  <c r="V32" i="11"/>
  <c r="X32" i="11"/>
  <c r="U32" i="11"/>
  <c r="AB32" i="11"/>
  <c r="T32" i="11"/>
  <c r="W32" i="11"/>
  <c r="AA32" i="11"/>
  <c r="S32" i="11"/>
  <c r="Z32" i="11"/>
  <c r="R32" i="11"/>
  <c r="Y32" i="11"/>
  <c r="Q32" i="11"/>
  <c r="P44" i="11"/>
  <c r="R44" i="11"/>
  <c r="Q44" i="11"/>
  <c r="AB44" i="11"/>
  <c r="T44" i="11"/>
  <c r="Y44" i="11"/>
  <c r="AA44" i="11"/>
  <c r="S44" i="11"/>
  <c r="U44" i="11"/>
  <c r="W44" i="11"/>
  <c r="X44" i="11"/>
  <c r="V44" i="11"/>
  <c r="P14" i="11"/>
  <c r="V14" i="11"/>
  <c r="U14" i="11"/>
  <c r="AB14" i="11"/>
  <c r="T14" i="11"/>
  <c r="AA14" i="11"/>
  <c r="S14" i="11"/>
  <c r="W14" i="11"/>
  <c r="Z14" i="11"/>
  <c r="R14" i="11"/>
  <c r="Y14" i="11"/>
  <c r="Q14" i="11"/>
  <c r="X14" i="11"/>
  <c r="P18" i="11"/>
  <c r="Z18" i="11"/>
  <c r="R18" i="11"/>
  <c r="Y18" i="11"/>
  <c r="Q18" i="11"/>
  <c r="T18" i="11"/>
  <c r="AA18" i="11"/>
  <c r="X18" i="11"/>
  <c r="W18" i="11"/>
  <c r="V18" i="11"/>
  <c r="U18" i="11"/>
  <c r="AB18" i="11"/>
  <c r="S18" i="11"/>
  <c r="P46" i="11"/>
  <c r="X46" i="11"/>
  <c r="R46" i="11"/>
  <c r="Y46" i="11"/>
  <c r="Z46" i="11"/>
  <c r="Q46" i="11"/>
  <c r="U46" i="11"/>
  <c r="W46" i="11"/>
  <c r="V46" i="11"/>
  <c r="S46" i="11"/>
  <c r="AA46" i="11"/>
  <c r="T46" i="11"/>
  <c r="AB46" i="11"/>
  <c r="P10" i="11"/>
  <c r="Z10" i="11"/>
  <c r="R10" i="11"/>
  <c r="T10" i="11"/>
  <c r="S10" i="11"/>
  <c r="Y10" i="11"/>
  <c r="Q10" i="11"/>
  <c r="AB10" i="11"/>
  <c r="AA10" i="11"/>
  <c r="X10" i="11"/>
  <c r="W10" i="11"/>
  <c r="V10" i="11"/>
  <c r="U10" i="11"/>
  <c r="AU48" i="11"/>
  <c r="AT48" i="11"/>
  <c r="AS48" i="11"/>
  <c r="AP48" i="11"/>
  <c r="AO48" i="11"/>
  <c r="AR48" i="11"/>
  <c r="AW48" i="11"/>
  <c r="AV48" i="11"/>
  <c r="AY48" i="11"/>
  <c r="AQ48" i="11"/>
  <c r="AX48" i="11"/>
  <c r="AY14" i="11"/>
  <c r="AQ14" i="11"/>
  <c r="AX14" i="11"/>
  <c r="AP14" i="11"/>
  <c r="AR14" i="11"/>
  <c r="AW14" i="11"/>
  <c r="AO14" i="11"/>
  <c r="AV14" i="11"/>
  <c r="AS14" i="11"/>
  <c r="AU14" i="11"/>
  <c r="AT14" i="11"/>
  <c r="AT36" i="11"/>
  <c r="AO36" i="11"/>
  <c r="AS36" i="11"/>
  <c r="AV36" i="11"/>
  <c r="AU36" i="11"/>
  <c r="AR36" i="11"/>
  <c r="AP36" i="11"/>
  <c r="AY36" i="11"/>
  <c r="AQ36" i="11"/>
  <c r="AW36" i="11"/>
  <c r="AX36" i="11"/>
  <c r="AR46" i="11"/>
  <c r="AQ46" i="11"/>
  <c r="AS46" i="11"/>
  <c r="AY46" i="11"/>
  <c r="AT46" i="11"/>
  <c r="AO46" i="11"/>
  <c r="AP46" i="11"/>
  <c r="AV46" i="11"/>
  <c r="AX46" i="11"/>
  <c r="AU46" i="11"/>
  <c r="AW46" i="11"/>
  <c r="AV44" i="11"/>
  <c r="AY44" i="11"/>
  <c r="AX44" i="11"/>
  <c r="AU44" i="11"/>
  <c r="AT44" i="11"/>
  <c r="AQ44" i="11"/>
  <c r="AO44" i="11"/>
  <c r="AS44" i="11"/>
  <c r="AR44" i="11"/>
  <c r="AP44" i="11"/>
  <c r="AW44" i="11"/>
  <c r="AY40" i="11"/>
  <c r="AQ40" i="11"/>
  <c r="AU40" i="11"/>
  <c r="AX40" i="11"/>
  <c r="AP40" i="11"/>
  <c r="AW40" i="11"/>
  <c r="AO40" i="11"/>
  <c r="AS40" i="11"/>
  <c r="AV40" i="11"/>
  <c r="AR40" i="11"/>
  <c r="AT40" i="11"/>
  <c r="AR28" i="11"/>
  <c r="AY28" i="11"/>
  <c r="AQ28" i="11"/>
  <c r="AX28" i="11"/>
  <c r="AP28" i="11"/>
  <c r="AT28" i="11"/>
  <c r="AS28" i="11"/>
  <c r="AW28" i="11"/>
  <c r="AO28" i="11"/>
  <c r="AV28" i="11"/>
  <c r="AU28" i="11"/>
  <c r="AV18" i="11"/>
  <c r="AP18" i="11"/>
  <c r="AU18" i="11"/>
  <c r="AR18" i="11"/>
  <c r="AX18" i="11"/>
  <c r="AW18" i="11"/>
  <c r="AT18" i="11"/>
  <c r="AQ18" i="11"/>
  <c r="AO18" i="11"/>
  <c r="AS18" i="11"/>
  <c r="AY18" i="11"/>
  <c r="AW32" i="11"/>
  <c r="AO32" i="11"/>
  <c r="AY32" i="11"/>
  <c r="AV32" i="11"/>
  <c r="AS32" i="11"/>
  <c r="AU32" i="11"/>
  <c r="AT32" i="11"/>
  <c r="AQ32" i="11"/>
  <c r="AP32" i="11"/>
  <c r="AR32" i="11"/>
  <c r="AX32" i="11"/>
  <c r="AT10" i="11"/>
  <c r="AS10" i="11"/>
  <c r="AO10" i="11"/>
  <c r="AR10" i="11"/>
  <c r="AQ10" i="11"/>
  <c r="AY10" i="11"/>
  <c r="AX10" i="11"/>
  <c r="AW10" i="11"/>
  <c r="AU10" i="11"/>
  <c r="AP10" i="11"/>
  <c r="AV10" i="11"/>
  <c r="L48" i="11"/>
  <c r="O48" i="11"/>
  <c r="M32" i="11"/>
  <c r="L32" i="11"/>
  <c r="AZ48" i="11"/>
  <c r="O18" i="11"/>
  <c r="F32" i="11"/>
  <c r="J48" i="11"/>
  <c r="G48" i="11"/>
  <c r="I48" i="11"/>
  <c r="AZ32" i="11"/>
  <c r="O46" i="11"/>
  <c r="H46" i="11"/>
  <c r="G32" i="11"/>
  <c r="K32" i="11"/>
  <c r="K46" i="11"/>
  <c r="E46" i="11"/>
  <c r="J46" i="11"/>
  <c r="N48" i="11"/>
  <c r="L46" i="11"/>
  <c r="I46" i="11"/>
  <c r="AZ46" i="11"/>
  <c r="F48" i="11"/>
  <c r="J32" i="11"/>
  <c r="F36" i="11"/>
  <c r="G18" i="11"/>
  <c r="E36" i="11"/>
  <c r="K40" i="11"/>
  <c r="AZ36" i="11"/>
  <c r="AZ18" i="11"/>
  <c r="G36" i="11"/>
  <c r="N36" i="11"/>
  <c r="L18" i="11"/>
  <c r="J36" i="11"/>
  <c r="H18" i="11"/>
  <c r="F18" i="11"/>
  <c r="J18" i="11"/>
  <c r="K36" i="11"/>
  <c r="H36" i="11"/>
  <c r="I32" i="11"/>
  <c r="L36" i="11"/>
  <c r="H48" i="11"/>
  <c r="K18" i="11"/>
  <c r="I36" i="11"/>
  <c r="N32" i="11"/>
  <c r="E18" i="11"/>
  <c r="M46" i="11"/>
  <c r="N46" i="11"/>
  <c r="F46" i="11"/>
  <c r="O32" i="11"/>
  <c r="I18" i="11"/>
  <c r="O36" i="11"/>
  <c r="M18" i="11"/>
  <c r="M48" i="11"/>
  <c r="G46" i="11"/>
  <c r="M36" i="11"/>
  <c r="K48" i="11"/>
  <c r="H32" i="11"/>
  <c r="E32" i="11"/>
  <c r="N18" i="11"/>
  <c r="E44" i="11"/>
  <c r="K14" i="11"/>
  <c r="O14" i="11"/>
  <c r="F14" i="11"/>
  <c r="M14" i="11"/>
  <c r="J14" i="11"/>
  <c r="E14" i="11"/>
  <c r="K44" i="11"/>
  <c r="AZ14" i="11"/>
  <c r="H44" i="11"/>
  <c r="O44" i="11"/>
  <c r="G44" i="11"/>
  <c r="G14" i="11"/>
  <c r="J44" i="11"/>
  <c r="I44" i="11"/>
  <c r="L14" i="11"/>
  <c r="M44" i="11"/>
  <c r="N14" i="11"/>
  <c r="F44" i="11"/>
  <c r="AZ44" i="11"/>
  <c r="L44" i="11"/>
  <c r="I14" i="11"/>
  <c r="H14" i="11"/>
  <c r="N44" i="11"/>
  <c r="L40" i="11"/>
  <c r="M40" i="11"/>
  <c r="D19" i="11"/>
  <c r="J40" i="11"/>
  <c r="E40" i="11"/>
  <c r="F40" i="11"/>
  <c r="H40" i="11"/>
  <c r="I40" i="11"/>
  <c r="AZ40" i="11"/>
  <c r="N40" i="11"/>
  <c r="O40" i="11"/>
  <c r="K3" i="1"/>
  <c r="H10" i="11"/>
  <c r="I10" i="11"/>
  <c r="M10" i="11"/>
  <c r="AZ10" i="11"/>
  <c r="J10" i="11"/>
  <c r="L10" i="11"/>
  <c r="F10" i="11"/>
  <c r="G10" i="11"/>
  <c r="K10" i="11"/>
  <c r="N10" i="11"/>
  <c r="O10" i="11"/>
  <c r="H28" i="11"/>
  <c r="AZ28" i="11"/>
  <c r="G28" i="11"/>
  <c r="J28" i="11"/>
  <c r="K28" i="11"/>
  <c r="N28" i="11"/>
  <c r="M28" i="11"/>
  <c r="E28" i="11"/>
  <c r="F28" i="11"/>
  <c r="O28" i="11"/>
  <c r="L28" i="11"/>
  <c r="I28" i="11"/>
  <c r="BN46" i="11" l="1"/>
  <c r="BN36" i="11"/>
  <c r="BN32" i="11"/>
  <c r="BO32" i="11" s="1"/>
  <c r="BN10" i="11"/>
  <c r="BN14" i="11"/>
  <c r="BO14" i="11" s="1"/>
  <c r="BN28" i="11"/>
  <c r="BO28" i="11" s="1"/>
  <c r="BN40" i="11"/>
  <c r="BO40" i="11" s="1"/>
  <c r="BN44" i="11"/>
  <c r="BO44" i="11" s="1"/>
  <c r="BN18" i="11"/>
  <c r="BO18" i="11" s="1"/>
  <c r="BN48" i="11"/>
  <c r="BO48" i="11" s="1"/>
  <c r="BB22" i="11"/>
  <c r="BB23" i="11" s="1"/>
  <c r="BB24" i="11" s="1"/>
  <c r="BA22" i="11"/>
  <c r="BD22" i="11"/>
  <c r="BD23" i="11" s="1"/>
  <c r="BD24" i="11" s="1"/>
  <c r="BC22" i="11"/>
  <c r="BC23" i="11" s="1"/>
  <c r="BC24" i="11" s="1"/>
  <c r="BA23" i="11"/>
  <c r="BA24" i="11" s="1"/>
  <c r="BG22" i="11"/>
  <c r="BG23" i="11" s="1"/>
  <c r="BG24" i="11" s="1"/>
  <c r="BF22" i="11"/>
  <c r="BE22" i="11"/>
  <c r="BH22" i="11"/>
  <c r="BH23" i="11" s="1"/>
  <c r="BH24" i="11" s="1"/>
  <c r="BF23" i="11"/>
  <c r="BF24" i="11" s="1"/>
  <c r="BI22" i="11"/>
  <c r="BJ22" i="11"/>
  <c r="BL22" i="11"/>
  <c r="BL23" i="11" s="1"/>
  <c r="BL24" i="11" s="1"/>
  <c r="BL51" i="11" s="1"/>
  <c r="BK22" i="11"/>
  <c r="BK23" i="11" s="1"/>
  <c r="BK24" i="11" s="1"/>
  <c r="AN22" i="11"/>
  <c r="AN23" i="11" s="1"/>
  <c r="AN24" i="11" s="1"/>
  <c r="AF22" i="11"/>
  <c r="AF23" i="11" s="1"/>
  <c r="AF24" i="11" s="1"/>
  <c r="AC22" i="11"/>
  <c r="AM22" i="11"/>
  <c r="AM23" i="11" s="1"/>
  <c r="AM24" i="11" s="1"/>
  <c r="AE22" i="11"/>
  <c r="AE23" i="11" s="1"/>
  <c r="AE24" i="11" s="1"/>
  <c r="AL22" i="11"/>
  <c r="AD22" i="11"/>
  <c r="AD23" i="11" s="1"/>
  <c r="AD24" i="11" s="1"/>
  <c r="AK22" i="11"/>
  <c r="AJ22" i="11"/>
  <c r="AJ23" i="11" s="1"/>
  <c r="AJ24" i="11" s="1"/>
  <c r="AH22" i="11"/>
  <c r="AH23" i="11" s="1"/>
  <c r="AH24" i="11" s="1"/>
  <c r="AI22" i="11"/>
  <c r="AG22" i="11"/>
  <c r="AG23" i="11" s="1"/>
  <c r="AG24" i="11" s="1"/>
  <c r="P22" i="11"/>
  <c r="P23" i="11" s="1"/>
  <c r="V22" i="11"/>
  <c r="V23" i="11" s="1"/>
  <c r="V24" i="11" s="1"/>
  <c r="U22" i="11"/>
  <c r="U23" i="11" s="1"/>
  <c r="U24" i="11" s="1"/>
  <c r="AB22" i="11"/>
  <c r="AB23" i="11" s="1"/>
  <c r="AB24" i="11" s="1"/>
  <c r="T22" i="11"/>
  <c r="T23" i="11" s="1"/>
  <c r="T24" i="11" s="1"/>
  <c r="X22" i="11"/>
  <c r="X23" i="11" s="1"/>
  <c r="X24" i="11" s="1"/>
  <c r="AA22" i="11"/>
  <c r="AA23" i="11" s="1"/>
  <c r="AA24" i="11" s="1"/>
  <c r="S22" i="11"/>
  <c r="Z22" i="11"/>
  <c r="R22" i="11"/>
  <c r="R23" i="11" s="1"/>
  <c r="R24" i="11" s="1"/>
  <c r="Y22" i="11"/>
  <c r="Y23" i="11" s="1"/>
  <c r="Y24" i="11" s="1"/>
  <c r="Q22" i="11"/>
  <c r="W22" i="11"/>
  <c r="G22" i="11"/>
  <c r="AS22" i="11"/>
  <c r="AW22" i="11"/>
  <c r="AR22" i="11"/>
  <c r="AY22" i="11"/>
  <c r="AQ22" i="11"/>
  <c r="AT22" i="11"/>
  <c r="AX22" i="11"/>
  <c r="AP22" i="11"/>
  <c r="AO22" i="11"/>
  <c r="AU22" i="11"/>
  <c r="AV22" i="11"/>
  <c r="BO46" i="11"/>
  <c r="BO36" i="11"/>
  <c r="M22" i="11"/>
  <c r="M23" i="11" s="1"/>
  <c r="J22" i="11"/>
  <c r="J23" i="11" s="1"/>
  <c r="N22" i="11"/>
  <c r="N23" i="11" s="1"/>
  <c r="H22" i="11"/>
  <c r="D49" i="11"/>
  <c r="F22" i="11"/>
  <c r="K22" i="11"/>
  <c r="K23" i="11" s="1"/>
  <c r="I22" i="11"/>
  <c r="I23" i="11" s="1"/>
  <c r="AZ22" i="11"/>
  <c r="L22" i="11"/>
  <c r="L23" i="11" s="1"/>
  <c r="E22" i="11"/>
  <c r="O22" i="11"/>
  <c r="O23" i="11" s="1"/>
  <c r="BO10" i="11"/>
  <c r="BN22" i="11" l="1"/>
  <c r="BO22" i="11" s="1"/>
  <c r="BC51" i="11"/>
  <c r="BD51" i="11"/>
  <c r="BA51" i="11"/>
  <c r="BB51" i="11"/>
  <c r="BH51" i="11"/>
  <c r="BF51" i="11"/>
  <c r="BG51" i="11"/>
  <c r="BE23" i="11"/>
  <c r="BE24" i="11" s="1"/>
  <c r="BE51" i="11" s="1"/>
  <c r="BJ23" i="11"/>
  <c r="BJ24" i="11" s="1"/>
  <c r="BJ51" i="11" s="1"/>
  <c r="BI23" i="11"/>
  <c r="BI24" i="11" s="1"/>
  <c r="BI51" i="11" s="1"/>
  <c r="BK51" i="11"/>
  <c r="BL49" i="11"/>
  <c r="K24" i="11"/>
  <c r="K51" i="11" s="1"/>
  <c r="K49" i="11" s="1"/>
  <c r="N24" i="11"/>
  <c r="N51" i="11" s="1"/>
  <c r="N49" i="11" s="1"/>
  <c r="J24" i="11"/>
  <c r="J51" i="11" s="1"/>
  <c r="J49" i="11" s="1"/>
  <c r="O24" i="11"/>
  <c r="O51" i="11" s="1"/>
  <c r="O49" i="11" s="1"/>
  <c r="L24" i="11"/>
  <c r="L51" i="11" s="1"/>
  <c r="L49" i="11" s="1"/>
  <c r="I24" i="11"/>
  <c r="I51" i="11" s="1"/>
  <c r="I49" i="11" s="1"/>
  <c r="M24" i="11"/>
  <c r="M51" i="11" s="1"/>
  <c r="M49" i="11" s="1"/>
  <c r="P24" i="11"/>
  <c r="P51" i="11" s="1"/>
  <c r="P49" i="11" s="1"/>
  <c r="AT23" i="11"/>
  <c r="AQ23" i="11"/>
  <c r="AV23" i="11"/>
  <c r="AU23" i="11"/>
  <c r="AO23" i="11"/>
  <c r="AO24" i="11" s="1"/>
  <c r="AP23" i="11"/>
  <c r="AN51" i="11"/>
  <c r="AX23" i="11"/>
  <c r="AC23" i="11"/>
  <c r="AK23" i="11"/>
  <c r="AE51" i="11"/>
  <c r="AG51" i="11"/>
  <c r="AM51" i="11"/>
  <c r="AD51" i="11"/>
  <c r="AL23" i="11"/>
  <c r="AH51" i="11"/>
  <c r="AF51" i="11"/>
  <c r="AI23" i="11"/>
  <c r="AJ51" i="11"/>
  <c r="Z23" i="11"/>
  <c r="AZ23" i="11"/>
  <c r="X51" i="11"/>
  <c r="T51" i="11"/>
  <c r="AB51" i="11"/>
  <c r="Y51" i="11"/>
  <c r="U51" i="11"/>
  <c r="AA51" i="11"/>
  <c r="Q23" i="11"/>
  <c r="R51" i="11"/>
  <c r="V51" i="11"/>
  <c r="S23" i="11"/>
  <c r="W23" i="11"/>
  <c r="H23" i="11"/>
  <c r="G23" i="11"/>
  <c r="F23" i="11"/>
  <c r="E23" i="11"/>
  <c r="E24" i="11" s="1"/>
  <c r="AW23" i="11"/>
  <c r="AS23" i="11"/>
  <c r="AY23" i="11"/>
  <c r="AR23" i="11"/>
  <c r="E51" i="11" l="1"/>
  <c r="E49" i="11" s="1"/>
  <c r="E50" i="11" s="1"/>
  <c r="BB49" i="11"/>
  <c r="BA49" i="11"/>
  <c r="BD49" i="11"/>
  <c r="BC49" i="11"/>
  <c r="BE49" i="11"/>
  <c r="BG49" i="11"/>
  <c r="BF49" i="11"/>
  <c r="BH49" i="11"/>
  <c r="BI49" i="11"/>
  <c r="BJ49" i="11"/>
  <c r="BK49" i="11"/>
  <c r="AR24" i="11"/>
  <c r="AR51" i="11" s="1"/>
  <c r="AR49" i="11" s="1"/>
  <c r="AX24" i="11"/>
  <c r="AX51" i="11" s="1"/>
  <c r="AX49" i="11" s="1"/>
  <c r="AP24" i="11"/>
  <c r="AP51" i="11" s="1"/>
  <c r="AZ24" i="11"/>
  <c r="AL24" i="11"/>
  <c r="AL51" i="11" s="1"/>
  <c r="AL49" i="11" s="1"/>
  <c r="AU24" i="11"/>
  <c r="AU51" i="11" s="1"/>
  <c r="AU49" i="11" s="1"/>
  <c r="AY24" i="11"/>
  <c r="AW24" i="11"/>
  <c r="AW51" i="11" s="1"/>
  <c r="AW49" i="11" s="1"/>
  <c r="AV24" i="11"/>
  <c r="AV51" i="11" s="1"/>
  <c r="AV49" i="11" s="1"/>
  <c r="G24" i="11"/>
  <c r="G51" i="11" s="1"/>
  <c r="G49" i="11" s="1"/>
  <c r="AI24" i="11"/>
  <c r="AI51" i="11" s="1"/>
  <c r="AI49" i="11" s="1"/>
  <c r="AK24" i="11"/>
  <c r="AK51" i="11" s="1"/>
  <c r="AK49" i="11" s="1"/>
  <c r="AQ24" i="11"/>
  <c r="AQ51" i="11" s="1"/>
  <c r="AS24" i="11"/>
  <c r="AS51" i="11" s="1"/>
  <c r="AS49" i="11" s="1"/>
  <c r="F24" i="11"/>
  <c r="F51" i="11" s="1"/>
  <c r="F49" i="11" s="1"/>
  <c r="H24" i="11"/>
  <c r="H51" i="11" s="1"/>
  <c r="H49" i="11" s="1"/>
  <c r="AT24" i="11"/>
  <c r="AT51" i="11" s="1"/>
  <c r="AT49" i="11" s="1"/>
  <c r="AC24" i="11"/>
  <c r="AC51" i="11" s="1"/>
  <c r="AC49" i="11" s="1"/>
  <c r="Z24" i="11"/>
  <c r="Z51" i="11" s="1"/>
  <c r="Z49" i="11" s="1"/>
  <c r="S24" i="11"/>
  <c r="S51" i="11" s="1"/>
  <c r="S49" i="11" s="1"/>
  <c r="W24" i="11"/>
  <c r="W51" i="11" s="1"/>
  <c r="W49" i="11" s="1"/>
  <c r="Q24" i="11"/>
  <c r="AO51" i="11"/>
  <c r="AN49" i="11"/>
  <c r="AG49" i="11"/>
  <c r="AF49" i="11"/>
  <c r="AE49" i="11"/>
  <c r="AM49" i="11"/>
  <c r="AH49" i="11"/>
  <c r="AJ49" i="11"/>
  <c r="AD49" i="11"/>
  <c r="Y49" i="11"/>
  <c r="R49" i="11"/>
  <c r="AB49" i="11"/>
  <c r="U49" i="11"/>
  <c r="T49" i="11"/>
  <c r="V49" i="11"/>
  <c r="AA49" i="11"/>
  <c r="X49" i="11"/>
  <c r="BN24" i="11" l="1"/>
  <c r="BO24" i="11" s="1"/>
  <c r="E52" i="11"/>
  <c r="F52" i="11" s="1"/>
  <c r="G52" i="11" s="1"/>
  <c r="H52" i="11" s="1"/>
  <c r="I52" i="11" s="1"/>
  <c r="J52" i="11" s="1"/>
  <c r="K52" i="11" s="1"/>
  <c r="L52" i="11" s="1"/>
  <c r="M52" i="11" s="1"/>
  <c r="N52" i="11" s="1"/>
  <c r="O52" i="11" s="1"/>
  <c r="P52" i="11" s="1"/>
  <c r="AZ51" i="11"/>
  <c r="AZ49" i="11" s="1"/>
  <c r="AP49" i="11"/>
  <c r="AQ49" i="11"/>
  <c r="AO49" i="11"/>
  <c r="AY51" i="11"/>
  <c r="AY49" i="11" s="1"/>
  <c r="F50" i="11"/>
  <c r="G50" i="11" s="1"/>
  <c r="H50" i="11" s="1"/>
  <c r="I50" i="11" s="1"/>
  <c r="J50" i="11" s="1"/>
  <c r="K50" i="11" s="1"/>
  <c r="L50" i="11" s="1"/>
  <c r="M50" i="11" s="1"/>
  <c r="N50" i="11" s="1"/>
  <c r="O50" i="11" s="1"/>
  <c r="P50" i="11" s="1"/>
  <c r="Q51" i="11"/>
  <c r="Q49" i="11" s="1"/>
  <c r="Q50" i="11" l="1"/>
  <c r="R50" i="11" s="1"/>
  <c r="S50" i="11" s="1"/>
  <c r="T50" i="11" s="1"/>
  <c r="U50" i="11" s="1"/>
  <c r="V50" i="11" s="1"/>
  <c r="W50" i="11" s="1"/>
  <c r="X50" i="11" s="1"/>
  <c r="Y50" i="11" s="1"/>
  <c r="Z50" i="11" s="1"/>
  <c r="AA50" i="11" s="1"/>
  <c r="Q52" i="11"/>
  <c r="R52" i="11" s="1"/>
  <c r="S52" i="11" s="1"/>
  <c r="T52" i="11" s="1"/>
  <c r="U52" i="11" s="1"/>
  <c r="V52" i="11" s="1"/>
  <c r="W52" i="11" s="1"/>
  <c r="X52" i="11" s="1"/>
  <c r="Y52" i="11" s="1"/>
  <c r="Z52" i="11" s="1"/>
  <c r="AA52" i="11" s="1"/>
  <c r="AB52" i="11" s="1"/>
  <c r="AC52" i="11" s="1"/>
  <c r="AD52" i="11" s="1"/>
  <c r="AE52" i="11" s="1"/>
  <c r="AF52" i="11" s="1"/>
  <c r="AG52" i="11" s="1"/>
  <c r="AH52" i="11" s="1"/>
  <c r="AI52" i="11" s="1"/>
  <c r="AJ52" i="11" s="1"/>
  <c r="AK52" i="11" s="1"/>
  <c r="AL52" i="11" s="1"/>
  <c r="AM52" i="11" s="1"/>
  <c r="AN52" i="11" s="1"/>
  <c r="AO52" i="11" s="1"/>
  <c r="AP52" i="11" s="1"/>
  <c r="AQ52" i="11" s="1"/>
  <c r="AR52" i="11" s="1"/>
  <c r="AS52" i="11" s="1"/>
  <c r="AT52" i="11" s="1"/>
  <c r="AU52" i="11" s="1"/>
  <c r="AV52" i="11" s="1"/>
  <c r="AW52" i="11" s="1"/>
  <c r="AX52" i="11" s="1"/>
  <c r="AY52" i="11" s="1"/>
  <c r="AZ52" i="11" s="1"/>
  <c r="BA52" i="11" s="1"/>
  <c r="BB52" i="11" s="1"/>
  <c r="BC52" i="11" s="1"/>
  <c r="BD52" i="11" s="1"/>
  <c r="BE52" i="11" s="1"/>
  <c r="BF52" i="11" s="1"/>
  <c r="BG52" i="11" s="1"/>
  <c r="BH52" i="11" s="1"/>
  <c r="BI52" i="11" s="1"/>
  <c r="BJ52" i="11" s="1"/>
  <c r="BK52" i="11" s="1"/>
  <c r="BL52" i="11" s="1"/>
  <c r="AB50" i="11" l="1"/>
  <c r="AO50" i="11" l="1"/>
  <c r="AC50" i="11"/>
  <c r="AD50" i="11" s="1"/>
  <c r="AE50" i="11" s="1"/>
  <c r="AF50" i="11" s="1"/>
  <c r="AG50" i="11" s="1"/>
  <c r="AH50" i="11" s="1"/>
  <c r="AI50" i="11" s="1"/>
  <c r="AJ50" i="11" s="1"/>
  <c r="AK50" i="11" s="1"/>
  <c r="AL50" i="11" s="1"/>
  <c r="AM50" i="11" s="1"/>
  <c r="AN50" i="11" s="1"/>
  <c r="AP50" i="11" l="1"/>
  <c r="BA50" i="11"/>
  <c r="AQ50" i="11" l="1"/>
  <c r="BB50" i="11"/>
  <c r="AR50" i="11" l="1"/>
  <c r="BC50" i="11"/>
  <c r="AS50" i="11" l="1"/>
  <c r="BD50" i="11"/>
  <c r="AT50" i="11" l="1"/>
  <c r="BE50" i="11"/>
  <c r="AU50" i="11" l="1"/>
  <c r="BF50" i="11"/>
  <c r="AV50" i="11" l="1"/>
  <c r="BG50" i="11"/>
  <c r="BH50" i="11" l="1"/>
  <c r="AW50" i="11"/>
  <c r="BI50" i="11" l="1"/>
  <c r="AX50" i="11"/>
  <c r="BJ50" i="11" l="1"/>
  <c r="AY50" i="11"/>
  <c r="AZ50" i="11" l="1"/>
  <c r="BL50" i="11" s="1"/>
  <c r="BK50" i="11"/>
</calcChain>
</file>

<file path=xl/sharedStrings.xml><?xml version="1.0" encoding="utf-8"?>
<sst xmlns="http://schemas.openxmlformats.org/spreadsheetml/2006/main" count="3335" uniqueCount="880">
  <si>
    <t>DATA-BASE:</t>
  </si>
  <si>
    <t>ITEM</t>
  </si>
  <si>
    <t>CÓDIGO</t>
  </si>
  <si>
    <t>ORGÃO</t>
  </si>
  <si>
    <t>DESCRIÇÃO SERVIÇO</t>
  </si>
  <si>
    <t>und</t>
  </si>
  <si>
    <t>m²</t>
  </si>
  <si>
    <t xml:space="preserve"> </t>
  </si>
  <si>
    <t>TOTAL GERAL</t>
  </si>
  <si>
    <t>TOTAL</t>
  </si>
  <si>
    <t>QUANTIDADE</t>
  </si>
  <si>
    <t>CRONOGRAMA FÍSICO-FINANCEIRO</t>
  </si>
  <si>
    <t>DESCRIÇÃO</t>
  </si>
  <si>
    <t xml:space="preserve">Físico (%) </t>
  </si>
  <si>
    <t>Financeiro (R$)</t>
  </si>
  <si>
    <t>Total Parcial (%)</t>
  </si>
  <si>
    <t>Total Acumulado (%)</t>
  </si>
  <si>
    <t>Total Financeiro (R$)</t>
  </si>
  <si>
    <t>Total Acumulado (R$)</t>
  </si>
  <si>
    <t>PLANILHA ORÇAMENTÁRIA</t>
  </si>
  <si>
    <t>04</t>
  </si>
  <si>
    <t>03</t>
  </si>
  <si>
    <t>02</t>
  </si>
  <si>
    <t>01</t>
  </si>
  <si>
    <t>VALORES (R$)</t>
  </si>
  <si>
    <t>UNIDADE</t>
  </si>
  <si>
    <t>CUSTO (R$)</t>
  </si>
  <si>
    <t>Ref. De Preços:</t>
  </si>
  <si>
    <t>mês</t>
  </si>
  <si>
    <t>05</t>
  </si>
  <si>
    <t>Topógrafo</t>
  </si>
  <si>
    <t>Aluguel mensal de instrumento de topografia ( Estação Total )</t>
  </si>
  <si>
    <t>06</t>
  </si>
  <si>
    <t>Auto de Demarcação Urbanística</t>
  </si>
  <si>
    <t>Mobilização Comunitária Inicial</t>
  </si>
  <si>
    <t>Mobilização Comunitária - Apresentação do Projeto Urbanístico</t>
  </si>
  <si>
    <t>Cadastro Físico e Selagem</t>
  </si>
  <si>
    <t>Cadastro Social</t>
  </si>
  <si>
    <t>Projeto Urbanístico de Regularização Fundiária</t>
  </si>
  <si>
    <t>Estudo Técnico Ambiental</t>
  </si>
  <si>
    <t>Estudo Técnico Geológico (Riscos em Geral)</t>
  </si>
  <si>
    <t>07</t>
  </si>
  <si>
    <t>08</t>
  </si>
  <si>
    <t>09</t>
  </si>
  <si>
    <t>10</t>
  </si>
  <si>
    <t>11</t>
  </si>
  <si>
    <t>Fator K:</t>
  </si>
  <si>
    <t>Insumos - CPU - Mão de Obra</t>
  </si>
  <si>
    <t>Referência</t>
  </si>
  <si>
    <t>Órgão</t>
  </si>
  <si>
    <t>Código</t>
  </si>
  <si>
    <t>Insumo - Mão de Obra</t>
  </si>
  <si>
    <t>Preço</t>
  </si>
  <si>
    <t>Adotado</t>
  </si>
  <si>
    <t>DER-ROD</t>
  </si>
  <si>
    <t>SINAPI</t>
  </si>
  <si>
    <t>Servente</t>
  </si>
  <si>
    <t>Auxiliar de administração</t>
  </si>
  <si>
    <t>Advogado</t>
  </si>
  <si>
    <t>Técnico de Campo</t>
  </si>
  <si>
    <t>Auxiliar Técnico</t>
  </si>
  <si>
    <t>Engenheiro Junior</t>
  </si>
  <si>
    <t>Assistente Social (Pleno)</t>
  </si>
  <si>
    <t>Desenhista Copista</t>
  </si>
  <si>
    <t>Arquiteto de Obra Pleno</t>
  </si>
  <si>
    <t>Engenheiro Civil Pleno</t>
  </si>
  <si>
    <t>h</t>
  </si>
  <si>
    <t>Observações:</t>
  </si>
  <si>
    <t>1. Preços sem Leis Sociais aplicadas;</t>
  </si>
  <si>
    <t>3. Para os valores constantes nas tabelas de referências, a tabela SINAPI representa o preço máximo praticado;</t>
  </si>
  <si>
    <t>2. Salário Hora = Salário Mês/220h;</t>
  </si>
  <si>
    <t>4. Salários SINDILIMPE-ES, conforme CONVENÇÃO COLETIVA DE TRABALHO 2021/2021.</t>
  </si>
  <si>
    <t>DER-ES / SINAPI</t>
  </si>
  <si>
    <t>Auxiliar de Serviços Gerais</t>
  </si>
  <si>
    <t>Auxiliar Técnico / Assistente de Engenharia</t>
  </si>
  <si>
    <t>Topógrafo (Horista)</t>
  </si>
  <si>
    <t>m³</t>
  </si>
  <si>
    <t>Insumos - CPU - Despesas Diretas</t>
  </si>
  <si>
    <t>Aluguel mensal de GPS Geodésico dupla frequência (L1/L2)</t>
  </si>
  <si>
    <t>Concreto estrutural fck = 15,0 MPa, tudo incluído</t>
  </si>
  <si>
    <t>Aluguel de automóvel VW/ Gol (flex) 1,6 ou equivalente, exclusive motorista, inclusive combustível</t>
  </si>
  <si>
    <t>Aluguel mensal de automóvel utilitário inclusive combustível, exclusive motorista</t>
  </si>
  <si>
    <t>Própria.01</t>
  </si>
  <si>
    <t>Própria.02</t>
  </si>
  <si>
    <t>Própria.03</t>
  </si>
  <si>
    <t>Própria.04</t>
  </si>
  <si>
    <t>Própria.05</t>
  </si>
  <si>
    <t>Cotação</t>
  </si>
  <si>
    <t>Banner 100 x 70 cm, folha em lona, brilho gramatura mínima 440g/m² com 4 x 0 cores</t>
  </si>
  <si>
    <t>UN</t>
  </si>
  <si>
    <t>Cartaz dim. 42x29,7cm, 4x0 cores, Tinta Escala em Off-set gramatura mínima  90g/m²</t>
  </si>
  <si>
    <t>Folder dim. 21 cm x 29,7 cm – 4/4 cores tinta média em offset gramatura mínima 90g/m²</t>
  </si>
  <si>
    <t>Impressão A1</t>
  </si>
  <si>
    <t>Datashow (depreciação)</t>
  </si>
  <si>
    <t>Insumos - CPU - Despesas Diretas - Cotações de Mercado</t>
  </si>
  <si>
    <t>Empresa 01</t>
  </si>
  <si>
    <t>Empresa 02</t>
  </si>
  <si>
    <t>Empresa 03</t>
  </si>
  <si>
    <t>Fator K - K2 - Cotação de Preços - Escritório</t>
  </si>
  <si>
    <t>Itens</t>
  </si>
  <si>
    <t>Fonte</t>
  </si>
  <si>
    <t>Local</t>
  </si>
  <si>
    <t>Contato</t>
  </si>
  <si>
    <t>P. Unit.</t>
  </si>
  <si>
    <t>Sala Comercial</t>
  </si>
  <si>
    <t>1.1</t>
  </si>
  <si>
    <t>1.2</t>
  </si>
  <si>
    <t>1.3</t>
  </si>
  <si>
    <t>1.4</t>
  </si>
  <si>
    <t>Mercado</t>
  </si>
  <si>
    <t>Santa Lúcia</t>
  </si>
  <si>
    <t>Mata da Praia</t>
  </si>
  <si>
    <t>Telefone</t>
  </si>
  <si>
    <t>m²/mês</t>
  </si>
  <si>
    <t>Aluguel</t>
  </si>
  <si>
    <t>Mediana (m²/mês):</t>
  </si>
  <si>
    <t>Condomínio/IPTU/Taxa de coleta de lixo, água e esgoto</t>
  </si>
  <si>
    <t>IPTU</t>
  </si>
  <si>
    <t>COND.</t>
  </si>
  <si>
    <t>Mediana (und):</t>
  </si>
  <si>
    <t>3.1</t>
  </si>
  <si>
    <t>3.2</t>
  </si>
  <si>
    <t>3.3</t>
  </si>
  <si>
    <t>Estação de Trabalho (mesa)</t>
  </si>
  <si>
    <t>Extra</t>
  </si>
  <si>
    <t>Mercado Livre</t>
  </si>
  <si>
    <t>PREÇO</t>
  </si>
  <si>
    <t>FRETE</t>
  </si>
  <si>
    <t>https://www.mercadolivre.com.br/cadeira-de-escritorio-tander-tce11-ergonmica-preta-con-estofado-do-mesh/p/MLB10981125</t>
  </si>
  <si>
    <t>4.1</t>
  </si>
  <si>
    <t>4.2</t>
  </si>
  <si>
    <t>4.3</t>
  </si>
  <si>
    <t>Cadeira para Estação de Trabalho</t>
  </si>
  <si>
    <t>Ponto Frio</t>
  </si>
  <si>
    <t>https://www.pontofrio.com.br/Moveis/AreadeServico/ArmariosMultiuso/armario-multiuso-061x180m-2-portas-6-prateleiras-henn-margarida-turin-hp-11476669.html?rectype=p1_op_s8&amp;recsource=btermo</t>
  </si>
  <si>
    <t>5.1</t>
  </si>
  <si>
    <t>5.2</t>
  </si>
  <si>
    <t>5.3</t>
  </si>
  <si>
    <t>Armário 02 Portas</t>
  </si>
  <si>
    <t>Monitor LED 21,5" Dell SE2216H 1920 x 1080 Full HD - Preto</t>
  </si>
  <si>
    <t>6.1</t>
  </si>
  <si>
    <t>Dell</t>
  </si>
  <si>
    <t>6.2</t>
  </si>
  <si>
    <t>Maganize Luiza</t>
  </si>
  <si>
    <t>6.3</t>
  </si>
  <si>
    <t>PACOTE OFFICE (Word, Excel, PowerPoint, OneNote, Outlook, OneDrive, Skype)</t>
  </si>
  <si>
    <t>7.1</t>
  </si>
  <si>
    <t>Microsoft</t>
  </si>
  <si>
    <t>https://www.microsoft.com/pt-br/microsoft-365/p/microsoft-365-personal/cfq7ttc0k5bf?icid=Office-Student-to-Personal-06072019&amp;activetab=pivot:overviewtab</t>
  </si>
  <si>
    <t>7.2</t>
  </si>
  <si>
    <t>Kalunga</t>
  </si>
  <si>
    <t>7.3</t>
  </si>
  <si>
    <t>Americanas</t>
  </si>
  <si>
    <t>8.1</t>
  </si>
  <si>
    <t>8.2</t>
  </si>
  <si>
    <t>8.3</t>
  </si>
  <si>
    <t>HP</t>
  </si>
  <si>
    <r>
      <t xml:space="preserve">Mediana (DESKTOP I5+MONITOR+OFFICE) </t>
    </r>
    <r>
      <rPr>
        <b/>
        <sz val="12"/>
        <rFont val="Arial Narrow"/>
        <family val="2"/>
      </rPr>
      <t>(und):</t>
    </r>
  </si>
  <si>
    <t>9.1</t>
  </si>
  <si>
    <t>9.2</t>
  </si>
  <si>
    <t>9.3</t>
  </si>
  <si>
    <t>Telefone Com Fio Pleno Preto Intelbras</t>
  </si>
  <si>
    <t>10.1</t>
  </si>
  <si>
    <t>Casas Bahia</t>
  </si>
  <si>
    <t>https://www.casasbahia.com.br/telefonesecelulares/telefoniafixa/telefonescomfio/telefone-com-fio-intelbras-pleno-3041.html</t>
  </si>
  <si>
    <t>10.2</t>
  </si>
  <si>
    <t>10.3</t>
  </si>
  <si>
    <t>11.1</t>
  </si>
  <si>
    <t>11.2</t>
  </si>
  <si>
    <t>11.3</t>
  </si>
  <si>
    <t>Impressora Multifuncional HP OfficeJet Pro 7720 Wi-Fi Tamanho A3 Y0S18A</t>
  </si>
  <si>
    <t>Projetor Epson PowerLite E20 XGA Portátil - 3400 Lumens 3LCD HDMI Branco</t>
  </si>
  <si>
    <t>12.1</t>
  </si>
  <si>
    <t>https://www.magazineluiza.com.br/projetor-epson-powerlite-e20-xga-portatil-3400-lumens-3lcd-hdmi-branco/p/230187900/et/eapj/?&amp;=&amp;seller_id=magazineluiza&amp;utm_source=google&amp;utm_medium=pla&amp;utm_campaign=&amp;partner_id=58953&amp;gclid=Cj0KCQjw5oiMBhDtARIsAJi0qk0X3umKb9mGCAzbXBXs1Bx8y1VjmXWd35pG4JsPKEQb14Fs3FIyuEQaAnWXEALw_wcB&amp;gclsrc=aw.ds</t>
  </si>
  <si>
    <t>12.2</t>
  </si>
  <si>
    <t>Fastshop</t>
  </si>
  <si>
    <t>https://www.fastshop.com.br/web/p/d/EPV11H981020_PRD/projetor-epson-3400-lumens-branco-v11h981020-fast?partner=parceiro-google&amp;cm_mmc=cpc_Shopping-_-EPV11H981020_PRD&amp;gclid=Cj0KCQjw5oiMBhDtARIsAJi0qk0hpVO-oYz1DXVOgJ0Z8l7MoBUB54xbL1e1jq4K6U0D9yWg4PJuc5QaAu80EALw_wcB</t>
  </si>
  <si>
    <t>12.3</t>
  </si>
  <si>
    <t>Amazon</t>
  </si>
  <si>
    <t>https://www.amazon.com.br/Projetor-Powerlite-L%C3%BAmens-Branco-Bivolt/dp/B087271SYH/ref=asc_df_B087271SYH/?tag=googleshopp00-20&amp;linkCode=df0&amp;hvadid=379799240111&amp;hvpos=&amp;hvnetw=g&amp;hvrand=6527003303152008811&amp;hvpone=&amp;hvptwo=&amp;hvqmt=&amp;hvdev=c&amp;hvdvcmdl=&amp;hvlocint=&amp;hvlocphy=1001547&amp;hvtargid=pla-982292920263&amp;psc=1</t>
  </si>
  <si>
    <t>Fator K - K2 - Cotação de Preços - Escritório - Depreciação</t>
  </si>
  <si>
    <t>Bens</t>
  </si>
  <si>
    <t>Valor dos Bens</t>
  </si>
  <si>
    <t>Taxa de Deprec. (a.ano)</t>
  </si>
  <si>
    <t>Depreciação (a.ano)</t>
  </si>
  <si>
    <t>Depreciação (a.mês)</t>
  </si>
  <si>
    <t>Mobiliário - Estação de Trabalho</t>
  </si>
  <si>
    <t>2.1</t>
  </si>
  <si>
    <t>Fonte: Receita Federal / TributaNet Consultoria Tributária Ltda</t>
  </si>
  <si>
    <t>Mobiliário - Cadeira Estação de Trabalho</t>
  </si>
  <si>
    <t>Mobiliário - Armário 02 Portas</t>
  </si>
  <si>
    <t>Armário 02 (duas) Portas</t>
  </si>
  <si>
    <t>Desktop i5</t>
  </si>
  <si>
    <t>Desktop i3</t>
  </si>
  <si>
    <t>Desktop I5 ou Ryzen 5 - 8Gb - HD 1Tb - Windows 10 - Pacote Office 365 - Monitor 21.5" - Teclado - Mouse</t>
  </si>
  <si>
    <t>Desktop I3 ou Ryzen 3 - 4Gb - HD 1Tb - Windows 10 - Pacote Office 365 - Monitor 21.5" - Teclado - Mouse</t>
  </si>
  <si>
    <t>Telefone com Fio</t>
  </si>
  <si>
    <t>Impressora</t>
  </si>
  <si>
    <t>Datashow</t>
  </si>
  <si>
    <t>Fator K - K2 - Cotação de Preços - Material Administrativo</t>
  </si>
  <si>
    <t>Descrição dos Materiais</t>
  </si>
  <si>
    <t>Preços de Mercado</t>
  </si>
  <si>
    <t>Atacado S. Paulo</t>
  </si>
  <si>
    <t>Carrefour</t>
  </si>
  <si>
    <t>Mediana</t>
  </si>
  <si>
    <t>12</t>
  </si>
  <si>
    <t>13</t>
  </si>
  <si>
    <t>14</t>
  </si>
  <si>
    <t>15</t>
  </si>
  <si>
    <t>16</t>
  </si>
  <si>
    <t>Caneta Esferográfica vermelha (caixa 50 und)</t>
  </si>
  <si>
    <t>Caneta Esferográfica azul (caixa 50 und)</t>
  </si>
  <si>
    <t>Cola branca 40g (pacote com 12 und)</t>
  </si>
  <si>
    <t>Envelope papel 240x340mm (com 100 und)</t>
  </si>
  <si>
    <t>Grafite 0,7mm HB (pacote com 12 caixas com 12 minas)</t>
  </si>
  <si>
    <t>Lapiseira plástica 0,7mm</t>
  </si>
  <si>
    <t>Caneta CD/DVD preta</t>
  </si>
  <si>
    <t>Cola Bastão 10g (caixa com 12 und)</t>
  </si>
  <si>
    <t>Grampo 26/6 cobreado (caixa com 5000 und)</t>
  </si>
  <si>
    <t>DVD (pino com 50und)</t>
  </si>
  <si>
    <t>Papel A3 (pacotes com 500 folhas)</t>
  </si>
  <si>
    <t>Carone</t>
  </si>
  <si>
    <t>Extrabom</t>
  </si>
  <si>
    <t>Atac. S. Paulo</t>
  </si>
  <si>
    <t>Esponja dupla face (pacote com 10und)</t>
  </si>
  <si>
    <t>Desinfetante uso geral embalagem com 5l</t>
  </si>
  <si>
    <t>Papel toalha 1000fl</t>
  </si>
  <si>
    <t>Sabão em pó (5 kg)</t>
  </si>
  <si>
    <t>Sabonete líquido (embalagem 5l)</t>
  </si>
  <si>
    <t>Saco de lixo com 20l (embalagem com 100und)</t>
  </si>
  <si>
    <t>Saco de lixo com 60l (embalagem com 100und)</t>
  </si>
  <si>
    <t>Saco de lixo com 100l (embalagem com 100und)</t>
  </si>
  <si>
    <t>Limpa vidros 500ml</t>
  </si>
  <si>
    <t>Detergente líquido (galão com 5l)</t>
  </si>
  <si>
    <t>Lã de aço (embalagem com 8 und)</t>
  </si>
  <si>
    <t>Fator K - K2 - Cotação de Preços - Material de Limpeza</t>
  </si>
  <si>
    <t>Fator K - K2 - Cotação de Preços - Café</t>
  </si>
  <si>
    <t>São José</t>
  </si>
  <si>
    <t>Água mineral c/ 20l</t>
  </si>
  <si>
    <t>Café moído (pacote 500g)</t>
  </si>
  <si>
    <t>Açucar (pacote 5kg)</t>
  </si>
  <si>
    <t>Copo descartável 200ml (caixa com 2500und)</t>
  </si>
  <si>
    <t>Copo descartável 50ml (caixa com 5000und)</t>
  </si>
  <si>
    <r>
      <t xml:space="preserve">Memorial de Índices - </t>
    </r>
    <r>
      <rPr>
        <b/>
        <sz val="12"/>
        <rFont val="Arial Narrow"/>
        <family val="2"/>
      </rPr>
      <t>Auto de Demarcação Urbanística</t>
    </r>
  </si>
  <si>
    <t>Descrição</t>
  </si>
  <si>
    <t>Quant.</t>
  </si>
  <si>
    <t>und.</t>
  </si>
  <si>
    <t>02 dias - Busca em cartório, órgãos públicos e outras fontes do proprietário da área;</t>
  </si>
  <si>
    <t>01 dia - Elaboração de notificações para proprietário e confrontantes e elaboração do edital;</t>
  </si>
  <si>
    <t>Total de 05 dias x 8 horas : 40 horas</t>
  </si>
  <si>
    <t>Foram considerados 05 dias dos profissionaism considerando 02 dias oara levantamento de campo da poligonal e confrontantes, 03 dias para análise de cadastro imobiliário visando identificar confrontantes, providenciar os desenhos, memoriais, bem como o georreferenciamento da área.</t>
  </si>
  <si>
    <t>Auxiliar de Topografia</t>
  </si>
  <si>
    <t>Materiais</t>
  </si>
  <si>
    <t>Estação Total ou equipamento topográfico</t>
  </si>
  <si>
    <r>
      <t xml:space="preserve">Memorial de Índices - </t>
    </r>
    <r>
      <rPr>
        <b/>
        <sz val="12"/>
        <rFont val="Arial Narrow"/>
        <family val="2"/>
      </rPr>
      <t>Mobilização Comunitária Inicial</t>
    </r>
  </si>
  <si>
    <t>Assistente Social</t>
  </si>
  <si>
    <t>Preparação da reunião, englobando todas as atividades sociais prévias e necessárias para sua realização, inclusive divulgação. 2 dias x 8 horas</t>
  </si>
  <si>
    <t>Participação na reunião de mobilização comunitária. 
Foi considerado que cada reunião com a comunidade tem duração média de 4 horas</t>
  </si>
  <si>
    <t>Preparação da reunião, englobando todas as atividades jurídicas prévias e necessárias para sua realização. 2 dias x 8 horas</t>
  </si>
  <si>
    <t>Preparação do material publicitário para apresentação na reunião, inclusive divulgação digital. 3 dias x 8 horas</t>
  </si>
  <si>
    <t>dia</t>
  </si>
  <si>
    <t>Cartazes
Foi estimado a distribuição de 20 cartazes no núcleo urbano objeto da regularização fundiária</t>
  </si>
  <si>
    <t>Banner
Previsto 1 banner para ficar exposto no dia da reunião</t>
  </si>
  <si>
    <t>Locação DATASHOW</t>
  </si>
  <si>
    <r>
      <t xml:space="preserve">Memorial de Índices - </t>
    </r>
    <r>
      <rPr>
        <b/>
        <sz val="12"/>
        <rFont val="Arial Narrow"/>
        <family val="2"/>
      </rPr>
      <t>Mobilização Comunitária - Apresentação do Projeto Urbanístico</t>
    </r>
  </si>
  <si>
    <t>Preparação da reunião, englobando todas as atividades sociais prévias e necessárias para sua realização, inclusive divulgação. 2 dia x 8 horas</t>
  </si>
  <si>
    <t>Arquiteto</t>
  </si>
  <si>
    <t>Preparação da reunião, englobando todas as atividades prévias e necessárias para sua realização. 2 dia x 8 horas</t>
  </si>
  <si>
    <t>Folders
Considerando que o número médio de lotes abrangidos na regularização fundiária fica em torno de 800 lotes, foi considerado a distribuição de 800 folders, mais uma perda de 10%, para abranger situações adversas (mais de uma residência por lote, solicitações extras dos proprietários, entre outros)</t>
  </si>
  <si>
    <t>CPU.001</t>
  </si>
  <si>
    <t>CPU.002</t>
  </si>
  <si>
    <t>CPU.003</t>
  </si>
  <si>
    <t>CPU.004</t>
  </si>
  <si>
    <t>CPU.005</t>
  </si>
  <si>
    <t>CPU.006</t>
  </si>
  <si>
    <t>CPU.007</t>
  </si>
  <si>
    <t>CPU.008</t>
  </si>
  <si>
    <t>CPU.009</t>
  </si>
  <si>
    <t>CPU.010</t>
  </si>
  <si>
    <t>CPU.011</t>
  </si>
  <si>
    <t>Coef.</t>
  </si>
  <si>
    <t>Topográfo</t>
  </si>
  <si>
    <t>Levantamento de campo. 4 meses x 176 horas</t>
  </si>
  <si>
    <t xml:space="preserve">Para o cálculo do coef. do metro quadrado, foi considerado, com base em histórico anteriores (Exemplo SEDURB) que para o levantamento topográfico de um núcleo urbano contendo aproximadamente 500 lotes, foi gasto o equivalente a 4 meses de equipe topográfica, já incluindo a geração das plantas topográficas. 
Para estimativa da área foi previsto lotes com 160m² e 25% da área total de área publica:
160m² x 500 unidades = 80.0000m² + 25% = 100.000m² </t>
  </si>
  <si>
    <t>Auxiliar de Topografia X 2</t>
  </si>
  <si>
    <t>Elaboração das plantas topográficas. 1 mês x 176 horas</t>
  </si>
  <si>
    <t>Equipamento de Estação Total</t>
  </si>
  <si>
    <t>Levantamento de Campo</t>
  </si>
  <si>
    <t>Veículo Utilitário com Combustível</t>
  </si>
  <si>
    <t>Marco Geodésico</t>
  </si>
  <si>
    <t>Engenheiro Civil</t>
  </si>
  <si>
    <t>GPS Geodésico</t>
  </si>
  <si>
    <t>Concreto fck - 15 Mpa</t>
  </si>
  <si>
    <t>Obs. Implantação de base (par de marcos) de concreto, georreferenciados com GPS de dupla frequência, inclusive pós processamento.</t>
  </si>
  <si>
    <t>SISTEMA DE MACRODRENAGEM VILA VELHA, TOPOGRAFIA E BATIMETRIA - CPU-SEDURB-06</t>
  </si>
  <si>
    <t>Este item refere-se às atividades relacionadas ao acompanhamento sócio-econômico, com atendimento ao público no escritório local, incluindo coleta de documentos, bem como elaboração do Parecer Sócio-Jurídico e minuta de Certidão de Regularização Fundiária. Ver Nota Técnica.</t>
  </si>
  <si>
    <t>Ressalta-se que o advogado e assistente social já remunerados em outras atividades não foram aqui considerados.</t>
  </si>
  <si>
    <t>Durante a execução do contrato, considerando as atividades necessárias para todas as tarefas de regularização fundiária, foi previsto a utlização de 1 assistentes social, período integral, no decorrer do contrato, para atividades não previstas nos demais itens de serviço remunerados na tabela.</t>
  </si>
  <si>
    <t>Durante a execução do contrato, o auxiliar técnico irá dar suporte as atividades inerentes da assistente social</t>
  </si>
  <si>
    <t>Durante a execução do contrato, considerando as atividades necessárias para todas as tarefas de regularização fundiária, foi previsto a utlização de advogado, orientação jurídica e outras atividades não remuneradas nos outros itens da tabela referencial</t>
  </si>
  <si>
    <t>Arquiteto ou Engenheiro (Coordenação)</t>
  </si>
  <si>
    <t>Durante a execução do contrato o arquiteto/engenheiro irá gerenciar todas as fases das atividades, sendo Responsável Técnico pela execução, coordenação e gerenciamento dos trabalhos</t>
  </si>
  <si>
    <r>
      <t>Memorial de Índices -</t>
    </r>
    <r>
      <rPr>
        <b/>
        <sz val="11"/>
        <rFont val="Arial Narrow"/>
        <family val="2"/>
      </rPr>
      <t xml:space="preserve"> Cadastro Físico e Selagem</t>
    </r>
  </si>
  <si>
    <t>Desenhista</t>
  </si>
  <si>
    <t>Foi previsto que para cada lote será utilizada uma média de 1 hora para levantamento físico das unidades habitacionais ali existentes, incluindo a selagem.</t>
  </si>
  <si>
    <t>Foi previsto que para cada desenho dos lotes será utilizada 30 minutos profissional desenhista</t>
  </si>
  <si>
    <r>
      <t>Memorial de Índices -</t>
    </r>
    <r>
      <rPr>
        <b/>
        <sz val="11"/>
        <rFont val="Arial Narrow"/>
        <family val="2"/>
      </rPr>
      <t xml:space="preserve"> Cadastro Social</t>
    </r>
  </si>
  <si>
    <t>Esse item refere-se às atividades relacionadas a pesquisas em imóveis selados na área, para identificar os responsáveis por cada imóvel, quem mora no domicílio, além de outras informações, como tempo de ocupação, renda, escolaridade, entre outras.</t>
  </si>
  <si>
    <t>Foi prevista a utilização de 1,5 hora do profissional para coleta de dados e documentos in loco e preenchimento in loco do cadastro social.
As demais atividades necessárias para a conclusão do cadastro, quando necessárias, tais como retorno para complementação de informações e documentos, estão inclusas nos custos da atividade de Acompanhamento de Regularização Fundiária.</t>
  </si>
  <si>
    <t>Acompanha a assistente social na atividade de campo, ofertando suporte nas tarefas.</t>
  </si>
  <si>
    <r>
      <t>Memorial de Índices -</t>
    </r>
    <r>
      <rPr>
        <b/>
        <sz val="11"/>
        <rFont val="Arial Narrow"/>
        <family val="2"/>
      </rPr>
      <t xml:space="preserve"> Projeto Urbanístico de Regularização Fundiária</t>
    </r>
  </si>
  <si>
    <t>Aqui foi considerado 01 arquiteto (a) em tempo integral para elaboração do memorial descritivo e demais atividades pertinentes e 01 desenhista para elaboração das plantas, em tempo integral.</t>
  </si>
  <si>
    <t>h/m²</t>
  </si>
  <si>
    <t>Arquiteto x 2</t>
  </si>
  <si>
    <t>Pranchas em Formato A1 - 04 Cópias</t>
  </si>
  <si>
    <t>01 mês x 176 horas/mês</t>
  </si>
  <si>
    <t>01 mês x 176 horas/mês x 0,5 expediente</t>
  </si>
  <si>
    <t>Para cada conjunto de projetos o histórico de contratações anteriores demonstra que são geradas 4 pranchas no formato A1.
5 x 4 CÓPIAS = 20 CÓPIAS</t>
  </si>
  <si>
    <t>Fator K - K2 - Composição de Preço Unitário</t>
  </si>
  <si>
    <t>CPU</t>
  </si>
  <si>
    <t>Item</t>
  </si>
  <si>
    <t>Descrição do Serviço</t>
  </si>
  <si>
    <t>CPU-K2-01</t>
  </si>
  <si>
    <t>Materiais de Limpeza - Composição de Custo - K2</t>
  </si>
  <si>
    <t>Orgão</t>
  </si>
  <si>
    <t>A - Mão de Obra</t>
  </si>
  <si>
    <t>unid</t>
  </si>
  <si>
    <t>Preços</t>
  </si>
  <si>
    <t>Total A</t>
  </si>
  <si>
    <t>Unid</t>
  </si>
  <si>
    <t>P. Unitário</t>
  </si>
  <si>
    <t>B - Materiais</t>
  </si>
  <si>
    <t>Total (A):</t>
  </si>
  <si>
    <t>Total (B):</t>
  </si>
  <si>
    <t>C- Equipamentos</t>
  </si>
  <si>
    <t>Total (C):</t>
  </si>
  <si>
    <t>TOTAL GERAL COM FATOR K = (A) + (B) + (C):</t>
  </si>
  <si>
    <t>CPU-K2-02</t>
  </si>
  <si>
    <t>Materiais de Escritório - Composição de Custo - K2</t>
  </si>
  <si>
    <t>Unit. (C/ Fator K)</t>
  </si>
  <si>
    <t>Custo (S/ Fator K)</t>
  </si>
  <si>
    <t>CUSTO TOTAL</t>
  </si>
  <si>
    <t>CUSTO ESTIMADO POR LOTE</t>
  </si>
  <si>
    <t>OBS.:</t>
  </si>
  <si>
    <t>S/ Desoneração</t>
  </si>
  <si>
    <t>Fator K - K2 - Administração Local</t>
  </si>
  <si>
    <t>Despesas Gerais</t>
  </si>
  <si>
    <t>unid.</t>
  </si>
  <si>
    <t>P. Total</t>
  </si>
  <si>
    <t>Observações</t>
  </si>
  <si>
    <t>1.0</t>
  </si>
  <si>
    <t>Mão de Obra Indireta</t>
  </si>
  <si>
    <t>DER-ES</t>
  </si>
  <si>
    <t>Leis Sociais 82,40%, conforme Termo de Compromisso de Ajustamento de Conduta, do MP-ES.</t>
  </si>
  <si>
    <t>SUBTOTAL:</t>
  </si>
  <si>
    <t>2.0</t>
  </si>
  <si>
    <t>Imóvel</t>
  </si>
  <si>
    <t>2.2</t>
  </si>
  <si>
    <t>2.3</t>
  </si>
  <si>
    <t>Estimado</t>
  </si>
  <si>
    <t>Locação de Sala Comercial</t>
  </si>
  <si>
    <t>Energia Elétrica</t>
  </si>
  <si>
    <t>Previsto uma sala comercial com tamanho usualmente encontrada em mercado.</t>
  </si>
  <si>
    <t>3.0</t>
  </si>
  <si>
    <t>Mobiliário</t>
  </si>
  <si>
    <t>Será pago o custo de depreciação dos móveis/equipamentos para elaboração do projeto. Equipe: 01 (um) coordenador; 01 (um) assistente social; 01 (um) advogado; 01 (um) técnico; e, 01 (um) arquiteto.</t>
  </si>
  <si>
    <t>Materiais de Escritório</t>
  </si>
  <si>
    <t>Materiais Diversos</t>
  </si>
  <si>
    <t>Equipamentos de Informática</t>
  </si>
  <si>
    <t>Será pago o custo de depreciação dos móveis / equipamentos para elaboração do projeto.</t>
  </si>
  <si>
    <t>Telefonia Fixa, Móvel e Internet</t>
  </si>
  <si>
    <t>Claro/Net</t>
  </si>
  <si>
    <t>Combo Telefonia fixa ilimitado local / 02 und móvel - 4G / internet 35mb + Wifi</t>
  </si>
  <si>
    <t>Telefone com fio</t>
  </si>
  <si>
    <t>Total Mensal das Despesas Gerais (R$):</t>
  </si>
  <si>
    <t>Prazo de Execução (mês):</t>
  </si>
  <si>
    <t>Total das Despesas Gerais (R$):</t>
  </si>
  <si>
    <t>Valor de Custo do Contrato (R$):</t>
  </si>
  <si>
    <t>Índice K2:</t>
  </si>
  <si>
    <t>CALCULADO</t>
  </si>
  <si>
    <t>Fator K - K2</t>
  </si>
  <si>
    <t>K1</t>
  </si>
  <si>
    <t>Leis Sociais</t>
  </si>
  <si>
    <t>K2</t>
  </si>
  <si>
    <t>K3</t>
  </si>
  <si>
    <t>K4</t>
  </si>
  <si>
    <t>Lucro</t>
  </si>
  <si>
    <t>ISS</t>
  </si>
  <si>
    <t>PIS</t>
  </si>
  <si>
    <t>COFINS</t>
  </si>
  <si>
    <t>Impostos</t>
  </si>
  <si>
    <t>K</t>
  </si>
  <si>
    <r>
      <t>K</t>
    </r>
    <r>
      <rPr>
        <b/>
        <vertAlign val="subscript"/>
        <sz val="12"/>
        <color theme="1"/>
        <rFont val="Arial Narrow"/>
        <family val="2"/>
      </rPr>
      <t>R</t>
    </r>
  </si>
  <si>
    <r>
      <rPr>
        <b/>
        <sz val="11"/>
        <rFont val="Arial Narrow"/>
        <family val="2"/>
      </rPr>
      <t>Observações:</t>
    </r>
    <r>
      <rPr>
        <sz val="11"/>
        <rFont val="Arial Narrow"/>
        <family val="2"/>
      </rPr>
      <t xml:space="preserve">
</t>
    </r>
    <r>
      <rPr>
        <b/>
        <sz val="11"/>
        <rFont val="Arial Narrow"/>
        <family val="2"/>
      </rPr>
      <t>A. Leis sociais (K1)</t>
    </r>
    <r>
      <rPr>
        <sz val="11"/>
        <rFont val="Arial Narrow"/>
        <family val="2"/>
      </rPr>
      <t xml:space="preserve"> adotada conforme Termo de Ajustamento de Conduta - 82,40%.
</t>
    </r>
    <r>
      <rPr>
        <b/>
        <sz val="11"/>
        <rFont val="Arial Narrow"/>
        <family val="2"/>
      </rPr>
      <t>B. FATOR K</t>
    </r>
    <r>
      <rPr>
        <sz val="11"/>
        <rFont val="Arial Narrow"/>
        <family val="2"/>
      </rPr>
      <t xml:space="preserve"> - Percentual incidente sobre mão de obra.
</t>
    </r>
    <r>
      <rPr>
        <b/>
        <sz val="11"/>
        <rFont val="Arial Narrow"/>
        <family val="2"/>
      </rPr>
      <t>C. FATOR KR</t>
    </r>
    <r>
      <rPr>
        <sz val="11"/>
        <rFont val="Arial Narrow"/>
        <family val="2"/>
      </rPr>
      <t xml:space="preserve">  - Percentual de ressarcimento de despesas e encargos (TRDE), incidente sobre demais insumos.</t>
    </r>
  </si>
  <si>
    <t>Cálculo de Composição do Fator K.</t>
  </si>
  <si>
    <t>Composição de Preço Unitário</t>
  </si>
  <si>
    <t>P. Custo</t>
  </si>
  <si>
    <t>B - Despesas Diretas</t>
  </si>
  <si>
    <t>Resumo</t>
  </si>
  <si>
    <t>A</t>
  </si>
  <si>
    <t>B</t>
  </si>
  <si>
    <t>C</t>
  </si>
  <si>
    <t>D</t>
  </si>
  <si>
    <t>E</t>
  </si>
  <si>
    <t>F</t>
  </si>
  <si>
    <t>Preço Total:</t>
  </si>
  <si>
    <t>Mão de Obra + LS:</t>
  </si>
  <si>
    <t>Despesas Diretas:</t>
  </si>
  <si>
    <t>Preço de custo:</t>
  </si>
  <si>
    <t>Auxiliar de Topógrafo (Horista)</t>
  </si>
  <si>
    <r>
      <t xml:space="preserve">Fator K - </t>
    </r>
    <r>
      <rPr>
        <b/>
        <sz val="10"/>
        <rFont val="Arial Narrow"/>
        <family val="2"/>
      </rPr>
      <t>Sobre A</t>
    </r>
    <r>
      <rPr>
        <sz val="10"/>
        <rFont val="Arial Narrow"/>
        <family val="2"/>
      </rPr>
      <t>:</t>
    </r>
  </si>
  <si>
    <r>
      <t xml:space="preserve">TRDE - </t>
    </r>
    <r>
      <rPr>
        <b/>
        <sz val="10"/>
        <rFont val="Arial Narrow"/>
        <family val="2"/>
      </rPr>
      <t>Sobre B</t>
    </r>
    <r>
      <rPr>
        <sz val="10"/>
        <rFont val="Arial Narrow"/>
        <family val="2"/>
      </rPr>
      <t>:</t>
    </r>
  </si>
  <si>
    <t>Própria.06</t>
  </si>
  <si>
    <t>Locação de VANT - Veículo Aéreo Não Tripulado (Drone DJI Matrice 200 Ou Similar), Excl. Operador (Base Local Do Orçamento 1202301)</t>
  </si>
  <si>
    <t>Locação de VANT - Veículo Aéreo Não Tripulado (Drone DJI Matrice 200 Ou Similar), Excl. Operador</t>
  </si>
  <si>
    <t>Especialista em meio ambiente</t>
  </si>
  <si>
    <t>Técnico em Sondagem</t>
  </si>
  <si>
    <r>
      <t>Memorial de Índices -</t>
    </r>
    <r>
      <rPr>
        <b/>
        <sz val="11"/>
        <rFont val="Arial Narrow"/>
        <family val="2"/>
      </rPr>
      <t xml:space="preserve"> Estudo Técnico Ambiental</t>
    </r>
  </si>
  <si>
    <t>Aqui foi considerado 01 (um) especialista em meio ambiente, 01 (um) engenheiro junior e 01 (um) auxiliar, considerando a execução do Estudo Técnico Ambiental para Regularização Fundiária, referente à área a ser regularizada.</t>
  </si>
  <si>
    <t>02 meses x 176 horas/mês</t>
  </si>
  <si>
    <r>
      <t>Memorial de Índices -</t>
    </r>
    <r>
      <rPr>
        <b/>
        <sz val="11"/>
        <rFont val="Arial Narrow"/>
        <family val="2"/>
      </rPr>
      <t xml:space="preserve"> Estudo Técnico Geológico (Riscos em Geral)</t>
    </r>
  </si>
  <si>
    <t>Aqui foi considerado 01 (um) Engenheiro Civil, 01 (um) Técnico em Sondagem, 01 (um) Auxiliar Técnico e 01 (um) Servente, considerando a execução do Estudo Técnico Geológico (Riscos em Geral) para Regularização Fundiária, referente à área a ser regularizada.</t>
  </si>
  <si>
    <t>Memória de Cálculo</t>
  </si>
  <si>
    <t>Área (m²)</t>
  </si>
  <si>
    <t>Total</t>
  </si>
  <si>
    <t>Unidade</t>
  </si>
  <si>
    <t>Total B</t>
  </si>
  <si>
    <r>
      <t>Memorial de Índices -</t>
    </r>
    <r>
      <rPr>
        <b/>
        <sz val="11"/>
        <rFont val="Arial Narrow"/>
        <family val="2"/>
      </rPr>
      <t xml:space="preserve"> Licença de Software, disponibilização do servidor de imagem e suporte técnico - Regularização Fundiária.</t>
    </r>
  </si>
  <si>
    <t>Licença de Software</t>
  </si>
  <si>
    <r>
      <t>Memorial de Índices -</t>
    </r>
    <r>
      <rPr>
        <b/>
        <sz val="11"/>
        <rFont val="Arial Narrow"/>
        <family val="2"/>
      </rPr>
      <t xml:space="preserve"> Treinamento no uso do Sistema de Gestão da Informação em Regularização Fundiária.</t>
    </r>
  </si>
  <si>
    <t>Treinamentos dos colaboradores municipais no uso do sistema de gestão da informação em regularização fundiária e fiscalização do espaço territorial municipal.</t>
  </si>
  <si>
    <t>Disponibilização de software para gestão da informação gerada em Regularização Fundiária e fiscalização do espaço territorial municipal, incluindo a manutenção das informações e imagens geradas em servidor web.</t>
  </si>
  <si>
    <t>Própria.07</t>
  </si>
  <si>
    <t>Licença de Software, disponibilização do servidor de imagem e suporte técnico - Regularização Fundiária.</t>
  </si>
  <si>
    <t>Treinamento no uso do Sistema de Gestão da Informação em Regularização Fundiária.</t>
  </si>
  <si>
    <t>hr</t>
  </si>
  <si>
    <t>CPU.012</t>
  </si>
  <si>
    <t>hrs</t>
  </si>
  <si>
    <t>horas</t>
  </si>
  <si>
    <t>Treinamento dos Servidores</t>
  </si>
  <si>
    <t>Técnico em Software</t>
  </si>
  <si>
    <t>Licença de Software, disponibilização do servidor de imagem e suporte técnico - Regularização Fundiária</t>
  </si>
  <si>
    <t>Treinamento no uso do Sistema de Gestão da Informação em Regularização Fundiária</t>
  </si>
  <si>
    <t>Treinamento</t>
  </si>
  <si>
    <t>coef</t>
  </si>
  <si>
    <t>Levantamento Topográfico Planialtimétrico Cadastral Georreferenciado para Loteamentos, Incluindo a Implantação de Base (Par de Marcos) de Concreto, Georreferenciados com GPS de Dupla Frequência e levantamento aerofotogramétrico urbano, GSD &lt;= 4cm; PEC Classe A, Inclusive Pós Processamento.</t>
  </si>
  <si>
    <t>Pesquisa</t>
  </si>
  <si>
    <t>Operador de Drone*</t>
  </si>
  <si>
    <t>* Com base em pesquisas feitas, um piloto de drone pode ganhar de R$ 2.000,00 a R$ 10.000,00 mensais. Para definição dos custos adotados, considerou-se a média entre a faixa salarial pesquisada.</t>
  </si>
  <si>
    <r>
      <t>Memorial de Índices -</t>
    </r>
    <r>
      <rPr>
        <b/>
        <sz val="10"/>
        <rFont val="Arial Narrow"/>
        <family val="2"/>
      </rPr>
      <t xml:space="preserve"> Levantamento Topográfico Planialtimétrico Cadastral Georreferenciado para Loteamentos, Incluindo a Implantação de Base (Par de Marcos) de Concreto, Georreferenciados com GPS de Dupla Frequência e levantamento aerofotogramétrico urbano, GSD &lt;= 4cm; PEC Classe A, Inclusive Pós Processamento.</t>
    </r>
  </si>
  <si>
    <t>Locação de VANT - Veículo Aéreo Não Tripulado (Drone DJI Matrice 200 Ou Similar), Excl. Operador*</t>
  </si>
  <si>
    <t>Cálc. 05 dias / 40 hectares</t>
  </si>
  <si>
    <t>*Para o cálculo do coef. do hectare de levantamento, foi considerado, com base em um levantamento anteriores que para o levantamento aerofotogramétrico sobre algumas áreas urbanizadas, contendo 40 hectares, foram gastos o equivalente a 5 dias de levantamento e 30 (trinta) dias de planejamento e processamento das imagens.</t>
  </si>
  <si>
    <r>
      <rPr>
        <b/>
        <i/>
        <sz val="10"/>
        <rFont val="Arial Narrow"/>
        <family val="2"/>
      </rPr>
      <t>Obs</t>
    </r>
    <r>
      <rPr>
        <i/>
        <sz val="10"/>
        <rFont val="Arial Narrow"/>
        <family val="2"/>
      </rPr>
      <t>.: O rendimento diário para o levantamento aerofotogramétrico podem ser vários a constar de diversos fatores, a exemplo da topografia local, se há aeroporto na cidade, condições climaticas predominantes etc. Outro ponto a ser considerado se há ao planejamento nenecessário para realizar voos em áreas menos e áreas maiores que variam pouquissimos e tendem a se tornar o maior custo do levantamento aerofotogramétrico, porém, considerou-se o quantitativo acima mencionado, uma vez que serão vários voos em aproximadamente 08 (oito) áreas, não havendo ligação entre elas.</t>
    </r>
  </si>
  <si>
    <t>Cálc.: (8 horas/dia * 22 dias / 40 hectares)</t>
  </si>
  <si>
    <t>Este item refere-se às atividades relacionadas a identificação, a codificação e a delimitação dos lotes e dos domicílios existentes na área, a caracterização do uso (residencial, misto, comercial, institucional, de prestação de serviços), as condições gerais da habitabilidade das edificações, tendo como objetivo a identificação e definição em campo da organização em lotes das áreas, possibilitando a sua varredura e codificação, culminando com a selagem das edificações.</t>
  </si>
  <si>
    <t>02 dias - Acompanhamento cartorário, inclusive análise de eventuais correções, até o registro de demarcação:</t>
  </si>
  <si>
    <t>Preço Adotado</t>
  </si>
  <si>
    <t>Gertrudes Imóveis</t>
  </si>
  <si>
    <t>(27) 2142-9060</t>
  </si>
  <si>
    <t>Cristina Milanez Imóveis</t>
  </si>
  <si>
    <t>(27) 3026-2121</t>
  </si>
  <si>
    <t>https://www.zapimoveis.com.br/imovel/aluguel-conjunto-comercial-sala-santa-lucia-vitoria-es-39m2-id-2723104036/?utm_source=email&amp;utm_medium=transactional&amp;utm_campaign=confirmacaodeleads_em_tr_bg_ld_ao_cr_re_zp_cr&amp;utm_source_platform=salesforce</t>
  </si>
  <si>
    <t>https://www.zapimoveis.com.br/imovel/aluguel-conjunto-comercial-sala-santa-lucia-vitoria-es-30m2-id-2723181950/?utm_source=email&amp;utm_medium=transactional&amp;utm_campaign=confirmacaodeleads_em_tr_bg_ld_ao_cr_re_zp_cr&amp;utm_source_platform=salesforce</t>
  </si>
  <si>
    <t>https://www.zapimoveis.com.br/imovel/aluguel-conjunto-comercial-sala-enseada-do-sua-vitoria-es-33m2-id-2721546536/?utm_source=email&amp;utm_medium=transactional&amp;utm_campaign=confirmacaodeleads_em_tr_bg_ld_ao_cr_re_zp_cr&amp;utm_source_platform=salesforce</t>
  </si>
  <si>
    <t>https://www.zapimoveis.com.br/imovel/aluguel-conjunto-comercial-sala-enseada-do-sua-vitoria-es-33m2-id-2721546536/?utm_source=email&amp;utm_medium=transactional&amp;utm_campaign=confirmacaodeleads_em_tr_bg_ld_ao_cr_re_zp_cr&amp;utm_source_platform=salesforce,</t>
  </si>
  <si>
    <t>https://www.zapimoveis.com.br/imovel/aluguel-conjunto-comercial-sala-mata-da-praia-vitoria-es-48m2-id-2652674711/</t>
  </si>
  <si>
    <t>David Natalli Imóveis</t>
  </si>
  <si>
    <t>(27) 3315-7182</t>
  </si>
  <si>
    <t>Data da Pesquisa</t>
  </si>
  <si>
    <t>https://produto.mercadolivre.com.br/MLB-3399056423-mesa-escrivaninha-denver-em-l-escritorio-diretor-office-_JM#is_advertising=true&amp;position=11&amp;search_layout=grid&amp;type=pad&amp;tracking_id=00759125-ecd9-427a-91f2-9c33a753b634&amp;is_advertising=true&amp;ad_domain=VQCATCORE_LST&amp;ad_position=11&amp;ad_click_id=NmNmZTQxOTItNmY0NS00NjgzLWFjNWQtMDczOTJmNTVlMmMx</t>
  </si>
  <si>
    <t>https://produto.mercadolivre.com.br/MLB-3482100427-mesa-escrivaninha-office-durango-com-2-gavetas-em-l-de-canto-_JM#is_advertising=true&amp;position=12&amp;search_layout=grid&amp;type=pad&amp;tracking_id=00759125-ecd9-427a-91f2-9c33a753b634&amp;is_advertising=true&amp;ad_domain=VQCATCORE_LST&amp;ad_position=12&amp;ad_click_id=ODUzYmQwMDEtMjdhYy00M2JjLWJjZDEtNDQ1NjE3Mzk4NmU3</t>
  </si>
  <si>
    <t>https://www.magazineluiza.com.br/mesa-de-escritorio-em-l-2-gavetas-3-portas-office-nt-2005-notavel-moveis/p/jd24c0f06k/mo/mses/</t>
  </si>
  <si>
    <t>https://produto.mercadolivre.com.br/MLB-2757449370-cadeira-de-escritorio-ergonmica-preta-com-estofado-de-mesh-_JM?matt_tool=18956390&amp;utm_source=google_shopping&amp;utm_medium=organic</t>
  </si>
  <si>
    <t>https://www.amazon.com.br/Cadeira-escrit%C3%B3rio-ergon%C3%B4mica-estofado-mesh%EF%BC%88Preto%EF%BC%89/dp/B0CGWTTZX4?source=ps-sl-shoppingads-lpcontext&amp;ref_=fplfs&amp;smid=A2YTXW55XVXFZC&amp;th=1</t>
  </si>
  <si>
    <t>https://www.leroymerlin.com.br/armario-multiuso-atenas-2-portas-branco-panorama-moveis_1570345864?region=outros</t>
  </si>
  <si>
    <t>Leroy Merlin</t>
  </si>
  <si>
    <t>https://www.leroymerlin.com.br/armario-multiuso-2-portas-dakar-yescasa-preto_1571708132</t>
  </si>
  <si>
    <t>https://www.amazon.com.br/Monitor-21-5-Dell-SE2216H-Full/dp/B015P6ITQ0</t>
  </si>
  <si>
    <t>https://produto.mercadolivre.com.br/MLB-3577585480-monitor-dell-22-widescreen-se2216h-vga-hdmi-full-hd-led-_JM?searchVariation=178045365665#searchVariation=178045365665&amp;position=2&amp;search_layout=grid&amp;type=item&amp;tracking_id=6f072e91-63a1-4d87-9d0e-799314c87fad</t>
  </si>
  <si>
    <t>https://www.mercadolivre.com.br/monitor-dell-215-se2222h-cor-preto-100v240v/p/MLB20796829#searchVariation=MLB20796829&amp;position=3&amp;search_layout=stack&amp;type=product&amp;tracking_id=f20fb669-0ee0-4f67-b5ec-a11334d75068</t>
  </si>
  <si>
    <t>https://www.amazon.com.br/Microsoft-OFFICE-365-PERSONAL-QQ2-01368/dp/B0B4T5245K?source=ps-sl-shoppingads-lpcontext&amp;ref_=fplfs&amp;psc=1&amp;smid=A3JLGWYKND12L</t>
  </si>
  <si>
    <t>https://www.kabum.com.br/produto/349870/pacote-office-365-personal-digital-1tb-1-licenca-de-midia-fisica-microsoft?srsltid=AfmBOoqDi96EJByeX_Gf_-BCKAtTnGI5Ke_LpCbSKczjdUX4ZpKLbA_wfPI</t>
  </si>
  <si>
    <t>KaBum!</t>
  </si>
  <si>
    <t>Desktop i5 ou Ryzen 5 - 8GB - SSD - 256GB - Windows 11 - Teclado - Mouse</t>
  </si>
  <si>
    <t>https://www.dell.com/pt-br/shop/computadores-all-in-ones-e-workstations/optiplex-small-desktop/spd/optiplex-7010-small-ff/cto02o7010sffbcc_on_1?redirectTo=SOC</t>
  </si>
  <si>
    <t>https://www.hp.com/br-pt/shop/prodesk-hp-400-g9-mini-72s94la.html?facetref=2af2b8d586714bf0</t>
  </si>
  <si>
    <t>https://www.dell.com/pt-br/shop/computadores-all-in-ones-e-workstations/desktop-optiplex-micro/spd/optiplex-7010-micro/cto02o7010mffbcc_on_5?redirectTo=SOC</t>
  </si>
  <si>
    <t>Desktop I3 ou Ryzen 3 - 4GB - SSD 256GB - Windows 11 - Teclado - Mouse</t>
  </si>
  <si>
    <t>https://www.dell.com/pt-br/shop/computadores-all-in-ones-e-workstations/desktop-optiplex-micro/spd/optiplex-7010-micro/cto01o7010mffbcc_on_1?redirectTo=SOC</t>
  </si>
  <si>
    <t>https://www.dell.com/pt-br/shop/computadores-all-in-ones-e-workstations/optiplex-small-desktop/spd/optiplex-7010-small-ff/cto01o7010sffbcc_on_1?redirectTo=SOC</t>
  </si>
  <si>
    <t>https://www.magazineluiza.com.br/computador-dell-vostro-core-i3-wifi-sff-ssd-256gb-windows/p/bk0b63732e/in/cptd/</t>
  </si>
  <si>
    <t>https://www.magazineluiza.com.br/telefone-fixo-pleno-com-fio-preto-intelbras/p/cc48bc85f1/tf/tfra/?seller_id=compreshop&amp;srsltid=AfmBOop-dqPJX8vzzTq_jDlfp8nzdl2p_blk4lHHN68T6GR8NADt-3WLKz4</t>
  </si>
  <si>
    <t>https://produto.mercadolivre.com.br/MLB-1503503280-aparelho-telefnico-fixo-com-fio-intelbras-pleno-preto-_JM?matt_tool=18956390&amp;utm_source=google_shopping&amp;utm_medium=organic</t>
  </si>
  <si>
    <t>https://www.kalunga.com.br/prod/impressora-multifuncional-jato-de-tinta-officejet-pro-9730-537p5c-colorida-duplex-wi-fi-conexao-ethernet-conexao-usb-bivolt-hp-cx-1-un/220476?pcID=84</t>
  </si>
  <si>
    <t>Impressora Multifuncional HP OfficeJet Pro 9730 Wi-Fi Tamanho A3 537P5C</t>
  </si>
  <si>
    <t>https://www.amazon.com.br/Impressora-HP-OfficeJet-9730-Multifuncional/dp/B00XFDN754?source=ps-sl-shoppingads-lpcontext&amp;ref_=fplfs&amp;psc=1&amp;smid=A2AB3A8220GMTG</t>
  </si>
  <si>
    <t>https://www.kabum.com.br/produto/581868/multifuncional-hp-officejet-pro-9730-wi-fi-impressao-rapida-e-alta-resolucao?srsltid=AfmBOor6oCnRtk7U7hgHf9IMEJ3krxD_xD0nMTYBjMWWJ8bde_C4D7asLhk</t>
  </si>
  <si>
    <t>Borracha plástica (com 24 und)</t>
  </si>
  <si>
    <t>Clipes n.º 2/0 caixa com 730und</t>
  </si>
  <si>
    <t>Referências de Preços</t>
  </si>
  <si>
    <t>Loja</t>
  </si>
  <si>
    <t>Link</t>
  </si>
  <si>
    <t>Data da Busca</t>
  </si>
  <si>
    <t>KaLunga</t>
  </si>
  <si>
    <t>https://www.kalunga.com.br/prod/papel-sulfite-a4-75g-210mmx297mm-caixa-com-10-resmas-5000-folhas-chamex-cx-1-un/996102</t>
  </si>
  <si>
    <t>https://www.atacadosaopaulo.com.br/caixa-papel-a4-75-g-m%C2%B2-500-folhas-branco-chamex/p</t>
  </si>
  <si>
    <t>https://www.amazon.com.br/Borracha-Grafite-Pl%C3%A1stica-Faber-Castell-7024N/dp/B077NJR9LH/ref=sr_1_8?__mk_pt_BR=%C3%85M%C3%85%C5%BD%C3%95%C3%91&amp;crid=1E7BNSMI0XZGP&amp;dib=eyJ2IjoiMSJ9.jOolBLrZ8hFLKN8OP7QP4dXM0Qaz0DnikiHQGjjF9sM7NykxM0ClhjoF1PVEqwc1sI40KI_SR6Mz7EkXRtJoppaaNsSEqc0e0iF4df8Ew42saqLlV8gMEyBbyGDg-BhtXN4S0i-VBTMSaBs4vE5lH4gDtCgjkz5EMT3VBBec2zaD6tGLCwqJSnQpGJ-YmwsPLoY5rb4T_P_7f2HZfkIhRjw-MvR0IV-AxPjY6UjE_vQ4K-6BkgjMAukVyaTdiUOYY7AWkT1TgeSfqkfIcxcfTUXvLwL7HGQNdqSlP5UjRmA.KH8Qk2IpK5tWCtxtuvMmNVo4u5N9Rx2aFYpZRXF3Q-s&amp;dib_tag=se&amp;keywords=borracha+plastica&amp;qid=1719320088&amp;sprefix=borracha+plastica+%2Caps%2C198&amp;sr=8-8</t>
  </si>
  <si>
    <t>https://www.atacadosaopaulo.com.br/borracha-plastica-com-capa-tr-18-branca---24un---mercur/p</t>
  </si>
  <si>
    <t>https://www.kalunga.com.br/prod/borracha-plastica-branca-com-cinta-vermelha-pequena-faber-castell-cx-24-un/068643</t>
  </si>
  <si>
    <t>https://www.amazon.com.br/Caneta-Esferogr%C3%A1fica-Vermelha-Fine-Plus/dp/B0778R1XJ6/ref=sr_1_12?crid=1WA6TCMMIX0S6&amp;dib=eyJ2IjoiMSJ9.d60Q9sX7Z7RhHtvblOseDy0st-ZlgbUf7PvWWWwRjS9_Yr-A1GWxORlLbS0D4XseeSQ7GGRQIup0joOb9LtJvuf9n5FzMaXxv01Z3EN9LwyHYoW4pX0K8Sd_Ikp7il_NIiUnMpRRq0x6oKGWwh3bFaeN5TvmqJE2nH-qKuz_6BQTcc9wYQbz9KIHKilreYxL4RxbwNjrNoz919hyEmBESpvMtpLf6kQmies9PrbKsTYkCW3AdjqlfIAZo-KiE4g5Jg-_yh4Ri5I_ysGUomyD-xKcC3A7KO4nMbnSfd2LZbw.o-YgVBgx6MHfTvq6wygNERYjb31gkx_YTs05Vevwr0I&amp;dib_tag=se&amp;keywords=caneta+esferogr%C3%A1fica+vermelha&amp;qid=1719320125&amp;sprefix=caneta+esferogr%C3%A1fica+v%2Caps%2C218&amp;sr=8-12</t>
  </si>
  <si>
    <t>https://www.amazon.com.br/Caneta-Esferografica-Cristal-Azul-Bic/dp/B000I5VY8Y/ref=sr_1_8?crid=2ZYV478FFAMES&amp;dib=eyJ2IjoiMSJ9.WqQJqoB0TGM_kTb97J4Ditew2XHYFndwSE0ARU2v1jgJNP4E0HbooaSyTEIxlDvBeMn8i8P27OYsd0ZtmhaPcyJtBCEuwKX96hcmZE33XP_FJQSyCOzes3Qs-VL9bFB8cn3YrgvDTtR2MN1Qnn6XPfqZZMfSygPjl5gljbITYA9BYVMRxPtscm9Czb7gsQvxUlLNVXHTQhnPDRVEz6WInP6oIb2kftmcVw48YnURQyo3p9LA_wo8pYDNACm9Au-0TXCeUwx4kZG9SBqEbabIRzrKnq-N_PoAQ_3l5EkFUNM.srMohGbzfhYKZMf9QPfh0vVwqW3bThs36MbABkcHm8M&amp;dib_tag=se&amp;keywords=caneta%2Besferogr%C3%A1fica%2Bazul&amp;qid=1719320145&amp;sprefix=caneta%2Besferogr%C3%A1fica%2Baz%2Caps%2C210&amp;sr=8-8&amp;th=1</t>
  </si>
  <si>
    <t>https://www.atacadosaopaulo.com.br/caneta-esferografica-cristal-dura---1-0-mm-vermelha-%7C-50un-%7C-bic/p</t>
  </si>
  <si>
    <t>https://www.atacadosaopaulo.com.br/caneta-esferografica-cristal-dura---1-0-mm-azul-%7C-50un-%7C-bic/p</t>
  </si>
  <si>
    <t>https://www.kalunga.com.br/prod/caneta-esferografica-bic-cristal-original-dura-mais-azul-ponta-media-de-1-0mm-835205-cx-50-un/176072</t>
  </si>
  <si>
    <t>https://www.kalunga.com.br/prod/caneta-esferografica-bic-cristal-dura-mais-a-classica-vermelha-ponta-media-de-1-0mm-835206-cx-50-un/176340</t>
  </si>
  <si>
    <t>Caneta marca texto (caixa com 12und)</t>
  </si>
  <si>
    <t>https://www.amazon.com.br/Caneta-Marca-Texto-Amarela-unidades/dp/B085YFQNT2/ref=sr_1_10?__mk_pt_BR=%C3%85M%C3%85%C5%BD%C3%95%C3%91&amp;crid=5EVTQPJATVWG&amp;dib=eyJ2IjoiMSJ9.fIzwHwAAQvKGwQ3hlEi1p7VnPfL_Cayd-I8wS26Z2Jgo1fNYFWPOMJsj-HPR6n3xkHtivKywXEyveIn_lB_QAtIi_7HwLeEyoyWv9dgaOVG7QPYRkPKL2vzZH-odOKcxlFBGrprIA0QT22PAF2oLSltbgdUl8Q-5S-vgs1bgnLdqZq-CRBXTnygMX6TSL4gbDgWjHezRApZH7FxoXgEO53tyEU-vPhysNURPqt36SurZ1LTJklV6KNb9uNBcyfJK_XjBp3O4eijt9Ae9hGyTAKYVR_BZMRrdAmDJEd4UJTQ.-6dx_xRfNH_eluE01F3vNXgbiiCKhqJnBiBf8dKpTG0&amp;dib_tag=se&amp;keywords=caneta+marca+texto&amp;qid=1719321054&amp;sprefix=caneta+marca+texto%2Caps%2C217&amp;sr=8-10</t>
  </si>
  <si>
    <t>https://www.kalunga.com.br/prod/marca-texto-grifpen-amarelo-12-unidades-faber-castell-cx-12-un/389604</t>
  </si>
  <si>
    <t>https://www.mercadolivre.com.br/caneta-marca-texto-pilot-lumi-color-12-un-cor-amarelo/p/MLB24005552#searchVariation=MLB24005552&amp;position=35&amp;search_layout=grid&amp;type=product&amp;tracking_id=a1126f1d-5749-4269-b2f8-32f772262d33</t>
  </si>
  <si>
    <t>Mediana:</t>
  </si>
  <si>
    <t>https://www.atacadosaopaulo.com.br/clips-n-2-0-galvanizado-caixa-com-500g---725un---acc/p</t>
  </si>
  <si>
    <t>https://www.amazon.com.br/Bacchi-1106-0-Clips-Galvanizado-Multicolor/dp/B0778J8H2M/ref=sr_1_1?__mk_pt_BR=%C3%85M%C3%85%C5%BD%C3%95%C3%91&amp;crid=27LWA7JH3WN4A&amp;dib=eyJ2IjoiMSJ9.I0T-mfgZuD94BJt8OjgB6_yUovuVEoL7353rF5trxxlqgCkl9LvnMEriVTXRosutZz2wgnqAO6DI29D890F0mUufYlt1YsRRVdDKbJ_Rn7TndhdCsPNVo0-g5i_S0facv9Ciq1xbPF5VeOmebqxV8mq1_xvf_J3Mg-AwH7rptqkPUdR4fBwINGe89vswndmr4yf2k0svSKJYokvBmydvYj2iHSeClzxYl5BhfgA3TIq64PH6G6pgN1Et06b-Gw1UOkXrlEIqZaN0oJ7t924eSpK0TN2MAaZr-rFmFzIFRb4._SXImYZ7KAJJs5fa1TXOfP1arSWyanJMUcs6WKotnJ0&amp;dib_tag=se&amp;keywords=clipes+n+2%2F0+720&amp;qid=1719322513&amp;sprefix=clipes+n+2%2F0+72%2Caps%2C271&amp;sr=8-1</t>
  </si>
  <si>
    <t>https://www.kalunga.com.br/prod/clips-numero-0-galvanizado-lata-com-500g-spiral-pt-1-un/195438</t>
  </si>
  <si>
    <t>https://www.amazon.com.br/ACC-9-11-12-13-5-Clips-Galvanizado-Multicolor/dp/B0778SS7KK/ref=sr_1_4?__mk_pt_BR=%C3%85M%C3%85%C5%BD%C3%95%C3%91&amp;crid=2MIM1G3L842CF&amp;dib=eyJ2IjoiMSJ9.8vFbEzGX7h92FfNxFmBsfTXlSQUmVaiDq0NC2RKCFtvOGCF83ZtTzZ3htkpgvLgDekXHZs6TV4pTEKhdbB54Gh8ybPgGpNYe2MFZmdtVpNSOrGFNoHAjhiLySaP2p_gxxsVGvXbpogrkslNMUde3GH1ei3Vifr6B48qSBc1dk24tBReQ6V7KYQjXYeJ8lauPBvdslsziTTl49-Y7Uazoqa3LuTmdKc8QIKVsf588k2ytHmrVloMj0QdySzgo1cjxqPOjCbNY91kguplam7-u9GYBo5CLe6C9fMZvX46gAeY.vtF9NAFeup43k1mhPyzxZ_gc0UhoWyNq9MFwtYzPr48&amp;dib_tag=se&amp;keywords=clipes%2Bn%2B8%2F0&amp;qid=1719322734&amp;sprefix=clipes%2Bn%2B8%2F0%2Caps%2C203&amp;sr=8-4&amp;th=1</t>
  </si>
  <si>
    <t>Clipes n.º 8/0 caixa com 137und</t>
  </si>
  <si>
    <t>ok</t>
  </si>
  <si>
    <t>https://www.atacadosaopaulo.com.br/clips-n-8-0-galvanizado-caixa-com-500g---137un---acc/p</t>
  </si>
  <si>
    <t>https://www.kalunga.com.br/prod/clips-numero-8-0-galvanizado-lata-com-500g-spiral-pt-1-un/195379</t>
  </si>
  <si>
    <t>https://www.amazon.com.br/Planeta-Brinquedos-Cola-Escolar-BIC/dp/B08TR1DF5H/ref=sr_1_18?__mk_pt_BR=%C3%85M%C3%85%C5%BD%C3%95%C3%91&amp;crid=ZMY005ISCA7C&amp;dib=eyJ2IjoiMSJ9.pRllVYlfAiglaM0x2s0KO2XTrP0dl1F8eOkbrWSS2KsR5kJPEeOoaiShGF0EsTrZY-wHB2sk10sTKnJUGZZsh2ZRI-ERezZW7AdUhPHAYtDyjseUGojeERVnGEJGr3jTCMlQPP0oyi9wFW-ZMX25KnNcGteO3S80KqS_8oeQWDLyFbik5rDOgysln78wnVYYTZEIbVKHKeDAaIjApyOZKiJv-n6ohf0o7QQUyOTdMvAK1Dy_8H3W4nnNghmo1K3U_-oxqNWgyUeMDI0pvZPZUjYA2yEHUSDsl5lNxDdars8.oyEE6v0Nxc3cZPdFzYeMh0zCBF1hpN6BtopYdfE1NpY&amp;dib_tag=se&amp;keywords=cola+branca+40g&amp;qid=1719324813&amp;sprefix=cola+branca+40%2Caps%2C236&amp;sr=8-18</t>
  </si>
  <si>
    <t>https://www.mercadolivre.com.br/cola-branca-polar-40g-caixa-com-12-un/p/MLB28245854#searchVariation=MLB28245854&amp;position=17&amp;search_layout=grid&amp;type=product&amp;tracking_id=89af34b3-f28a-4b2d-8df7-e7871d0b25a7</t>
  </si>
  <si>
    <t>https://www.amazon.com.br/Scrity-SKN334-Envelope-Multicolor-Pacote/dp/B077J4KWB2/ref=sr_1_5?crid=2HNUJCKSKJLGB&amp;dib=eyJ2IjoiMSJ9.HLCgtK73YTb25m8fc6pCXZ3hBEZ5rE8-Ww6IidR0Ej2fVOXngKQZr9UpyksrFLBhvtzIxGiYdblhZtc7h-SptzofYSXbnqrEmNSVqTt91xH75xfxEng1K8EIa8uahJ1ZShsUN4VWWUOCJI47qqx4x34bYgAtqSfi4VAN51iWo0W2V0EDCi_vwYzfjVQq7IqGwWnrAUfKI4QIMndGPFYa2jKuHeBYsaLvw3O55RawsNbsCRMa6Y7uKuKQw8Q50aERVoWC-MHsPToFXwejjYi2ov5lW20JF1ayI21Ec_bKxUc.mNAh1d378EcPhNmOH_uG2xXTIpr8Fyr-3nnZrJW5XzA&amp;dib_tag=se&amp;keywords=envelope+a4&amp;qid=1719325239&amp;sprefix=envelop%2Caps%2C219&amp;sr=8-5</t>
  </si>
  <si>
    <t>https://www.atacadosaopaulo.com.br/envelope-kraft-natural-240x340mm-80g-skn334---100un---scrity/p</t>
  </si>
  <si>
    <t>https://www.kalunga.com.br/prod/envelope-saco-kraft-natural-75g-240x340-kft34-2119-romitec-cx-100-un/249411</t>
  </si>
  <si>
    <t>--</t>
  </si>
  <si>
    <t>Fita adesiva 18mmx50m (caixa com 7 und)</t>
  </si>
  <si>
    <t>https://www.amazon.com.br/Adelbras-811000016-Empacotamento-Qualitape-Multicolor/dp/B077GSYLCV/ref=sr_1_3?__mk_pt_BR=%C3%85M%C3%85%C5%BD%C3%95%C3%91&amp;crid=1G49S0XBLDT35&amp;dib=eyJ2IjoiMSJ9.oJKw9RNGvKUAW_yZdNmM5qh_GztAR1KT-yVlmSsOS6FJPxLdWLlaqvy9yuEVQZMGVIZLKob44ig7OQj3bjPVSHtXzpUfXl0o6X4fhJCaUR1VXRoOuXUqzBHH-lHsirz9mElrFYSjpQaN6I36B1DXw60Vjhm4SdvvVpfLEy5BEYcnNMmYLi1nWq5KGahc0QEzrWot1d-oGq0J3b9RiPgizA9GWU0mOyOYkGLaFrGnrNHk04bKcIpeMuqqg5lcE1idQbmhsQQwg-RS10EUP9oynzASF9yuCmxi6sbPVa5rIFQ.7sYnoi5eB-8zfU3JEV4Ec36hHbCDUnwh1rjvlQ20beE&amp;dib_tag=se&amp;keywords=fita+adesiva+18&amp;qid=1719325659&amp;sprefix=fita+adesiva+18+%2Caps%2C237&amp;sr=8-3</t>
  </si>
  <si>
    <t>https://www.atacadosaopaulo.com.br/fita-adesiva-18x50-transparente-qualitap---7rl---adelbras/p</t>
  </si>
  <si>
    <t>https://www.amazon.com.br/Grafite-Tris-Hipoly-Tra%C3%A7o-Tubos/dp/B0CHWRWRR6/ref=sr_1_15?__mk_pt_BR=%C3%85M%C3%85%C5%BD%C3%95%C3%91&amp;crid=1GAC2D5WAD63R&amp;dib=eyJ2IjoiMSJ9.bo-eQ-7ibD0qIL52jyvAHr-sxBLmuQ0oXZgq7OUH13YjRvLz_JmxLO9dUi26I8z8rSguMYdpMykDv8O8JhI91ECK45YFojdY7UlIXYI2jip0FZzECkNQUM-dH3Y8Y0p6-bTBvelxUhPeTyquDvzBaDOrAIbUb7kcveihGFR_GGJsL9haf_aVcBt5RpyU6Y4WUojvLSgpP0qM0csTJjfPsVm8ObDMFdE7AgjvA0-GGMLIKvmjyDHYRgv8WhYI1BiFZYO_FBBGnTibmnv91vxmeVD18KuHavnvJuggLLk_J7M.H0b2_vIS7vnNdDZsSF7wtpdOqVUM_2xQdWOxqwCacYo&amp;dib_tag=se&amp;keywords=Grafite+0.7+pacote+12+caixas+com+12+minas&amp;qid=1719326036&amp;sprefix=grafite+0.7+pacote+12+caixas+com+12+mina%2Caps%2C192&amp;sr=8-15</t>
  </si>
  <si>
    <t>https://www.atacadosaopaulo.com.br/grafite-0-7-mm-2b-estojo-com-12-minas-%7C-12un-%7C-pilot/p</t>
  </si>
  <si>
    <t>https://produto.mercadolivre.com.br/MLB-3413775217-grafite-07mm-hb-caixa-com-12-tubos-brw-_JM#position=10&amp;search_layout=grid&amp;type=item&amp;tracking_id=c56390a0-a03d-4331-8dbd-c53c79e6406d</t>
  </si>
  <si>
    <t>https://www.amazon.com.br/Pentel-P200-Lapiseira-Azul-0-7/dp/B004PTORHO/ref=sr_1_10?__mk_pt_BR=%C3%85M%C3%85%C5%BD%C3%95%C3%91&amp;crid=1R19WYB5AHXYR&amp;dib=eyJ2IjoiMSJ9.T1RkjWNwRXCqrBYGYn9PrUtwosCFmF0o5w2sExps52SEhFssOJU1yq_UcaLJ3-p_oiTeks_A0kGanlQGkW7dZnEBTSTISVPAABHJ-dI8iHXhhHB-bN5FUWKt0Zy5lILY2GOmiZz2ViM9hV4P-0orOl0buCiJXxZtFDmLfxx_CGw2N_sv0a2VAg7_c8clgR6KYeRBgkugGQLy_hERNGHvFad3XNSB2IwIsTYnTSJjF5wHT3WCyFrCZ5hJUN3fouMYhMyXS8HGWtoTz5G6nnuT7RDqMtdROUZn_cftaxrKBuM.7sI_yz914opKiPj3CxAek_xPHAxdyU4vF1khRSQ2G0I&amp;dib_tag=se&amp;keywords=Lapiseira%2B0.7&amp;qid=1719326477&amp;sprefix=lapiseira%2B0.7%2Caps%2C216&amp;sr=8-10&amp;th=1</t>
  </si>
  <si>
    <t>https://www.atacadosaopaulo.com.br/lapiseira-0-7mm-h-187-preto-024pr-pilot---un/p</t>
  </si>
  <si>
    <t>https://www.mercadolivre.com.br/lapiseira-tecnica-2b-07-jocar-com-tubo-de-grafite/p/MLB24278722?pdp_filters=item_id:MLB3450487969#is_advertising=true&amp;searchVariation=MLB24278722&amp;position=2&amp;search_layout=grid&amp;type=pad&amp;tracking_id=8669cb3a-f1b9-4df2-9261-499f9c2fc070&amp;is_advertising=true&amp;ad_domain=VQCATCORE_LST&amp;ad_position=2&amp;ad_click_id=MzVmNmE2MTctODAxZS00YWEzLThkNDQtM2VhZmM1NWNmNGU1</t>
  </si>
  <si>
    <t>https://www.amazon.com.br/Marcador-Marking-BIC-886443-Preto/dp/B07CVQK7R1/ref=sr_1_4?__mk_pt_BR=%C3%85M%C3%85%C5%BD%C3%95%C3%91&amp;crid=3PNYTYT77M4IF&amp;dib=eyJ2IjoiMSJ9.eUnMM1Xltj-1HZSsszGG2lGZC33dtLqeNcHQlU5KWO_D72lyZAnp1Q1bEiYScdaNfMByN251BeUUhFKvV0i6NvvaA5wdGOE7B1SO-snXREix-IB4EbtIDNElTpZYdEAhvbmY2bjalZ3D6vVXFgY464MRFH19lpfIQ8Q2RElWpONEZa4_gI-qsg6FMcwgLECYwRwF1ycauutATvSZFDzAXrXFi7bbCkLQZIWhmwjZO8ELM3jkagrU2qhxr5mpxu71XWPlpIH2O5x6Kv8u7Do6p43DafuvP3Buz-Bt7DVIzcs.fyoUFdBFyxpHzSsYqmVEnsqOSMOwkmYaCkjfLe5Q3yc&amp;dib_tag=se&amp;keywords=Caneta+DVD&amp;qid=1719327038&amp;sprefix=caneta+dvd%2Caps%2C261&amp;sr=8-4</t>
  </si>
  <si>
    <t>https://www.kalunga.com.br/prod/caneta-paracd-dvd-blu-ray-2-0mm-preta-pilot-bt-1-un/167960</t>
  </si>
  <si>
    <t>https://www.mercadolivre.com.br/caneta-permanente-pilot-cd-dvd-plastico-acrilico-vinil-vidro-cor-preto/p/MLB25845222?pdp_filters=item_id:MLB3650700929#is_advertising=true&amp;searchVariation=MLB25845222&amp;position=1&amp;search_layout=grid&amp;type=pad&amp;tracking_id=41dda93a-1086-4676-8c20-9cf1689ebcd2&amp;is_advertising=true&amp;ad_domain=VQCATCORE_LST&amp;ad_position=1&amp;ad_click_id=YWFiODY1YWMtOTI5Mi00MjZhLTkzZjAtNzZjYmIxZTVlNzA5</t>
  </si>
  <si>
    <t>https://www.amazon.com.br/Cola-Bastao-Bazze-Shrink-Unidades/dp/B0CJ1B6HWH/ref=sr_1_27?__mk_pt_BR=%C3%85M%C3%85%C5%BD%C3%95%C3%91&amp;crid=2MOFUENO16LEX&amp;dib=eyJ2IjoiMSJ9.CqYoVAT6oNS9WQ31TN--19fu2TsyyzBExHrtdKV8I2nIsupjCh7EmDriMnz4XLR3pLSz8rdOPocbALXWv4xNOoEWD-o41tQOs8ICcsvi-YGy0s75UUh2YZCJmvf0nxi1jcXVnBDRyP0EWUnhazBPixdaE7xQ0tB4UXzXsGkVFXQioRs1l8gNX37deI-VHrH_L4Vd0MwkGeBltTfim8kzrCi5gnvJDtXPAHKpq5Ac0jkUGvbRJBqM1-heRFDSOfepMmuYc6ygKCYarSJujGmbE92IL9O66ZRhTrGvgdS5rq4.6tZEQ9ul-2y97cP60TRImjYPXsUhwg-mYl6BCVKsCkA&amp;dib_tag=se&amp;keywords=cola+bast%C3%A3o&amp;qid=1719327188&amp;sprefix=cola+bast%C3%A3%2Caps%2C221&amp;sr=8-27</t>
  </si>
  <si>
    <t>https://www.atacadosaopaulo.com.br/cola-bastao-10g-leonora---12un---leonora/p</t>
  </si>
  <si>
    <t>https://www.kalunga.com.br/prod/cola-em-bastao-10g-65715-spiral-office-cx-12-un/209617</t>
  </si>
  <si>
    <t>https://www.amazon.com.br/Gramp-Line-50080001-Grampeador-Multicolor/dp/B077P9S2PF/ref=sr_1_6?__mk_pt_BR=%C3%85M%C3%85%C5%BD%C3%95%C3%91&amp;crid=2AJ77J8FQYXFD&amp;dib=eyJ2IjoiMSJ9.4b8B9MWHjPw3qcK0ELXRRpLQ7LSzkqIYNYTKpgSSziX3P6zUynk5_J9DQD9_KUnDqw2hfGtqha9kYHj42xu0Pt7wxAtl5b6J1bckTL5AYkMKW1wPoD5I4NR3GJLtvWo8P6-sVURIKkQPAYLkXxi0bhdPKSpE0HhSMKd4L1VLNKn0Co4ELQuBx6DTWQN_TEF2_bLnuAdC_T4r2TrRQjQddPuiNjHrV6NZO-iO7elVh-yacr8wgVo5_C9CGFqhEIZU97vnuHOYr75sc0CngVjVAc_01uAI9D05H_V1lGFjxf8.5z8JDxf6QQW9GsOWrRc5k1b_YBzlBxIZ5cowQ91RCuU&amp;dib_tag=se&amp;keywords=grampo+26+%2F+6&amp;qid=1719327374&amp;sprefix=grampo+26%2F6%2Caps%2C213&amp;sr=8-6</t>
  </si>
  <si>
    <t>https://www.atacadosaopaulo.com.br/grampo-para-grampeador-26-6-cobreado---5000un---acc/p</t>
  </si>
  <si>
    <t>https://www.kalunga.com.br/prod/grampo-paragrampeador-26-6-cobre-spiral-grampos-pt-5000-un/377059</t>
  </si>
  <si>
    <t>https://www.amazon.com.br/M%C3%ADdia-DVD-R-Shrink-Multilaser-DV061/dp/B07779P43Y/ref=sr_1_2?__mk_pt_BR=%C3%85M%C3%85%C5%BD%C3%95%C3%91&amp;crid=2E2PVW1RW4Z0Z&amp;dib=eyJ2IjoiMSJ9.digE38kCcPDhuFRpRnM6pEpYw55nggyvafbtTa487XWVNHCrKlCzbS9YEXIdpkA2Nl5fTfMnDsD-LrHeyAK6PZKaHmAPL8QDpDAaS_jKpNJIzOjREo4BPmhtbhbXvWmrpjM2t2btKDLjLk-NX23R0IITvujnzrpT95-ClLp2ydw0grPEzm1UfExPDM4HSxp9tuQe0zTy4iGj6LOsnRYj7rs8v5INY0wQcz-P7LE-sCdKm4vl5QZ7DKzKIWe86sE4e2m_kcnkCDgK2-BYKKKwvfSLNVGskXBigZUMECoFXY4.7ya8hXuKyvPJtn-3RgasGX9vuldrxBTE42rQXkiGof8&amp;dib_tag=se&amp;keywords=tubo+dvd+50+un&amp;qid=1719328177&amp;sprefix=tubo+dvd+50+un%2Caps%2C199&amp;sr=8-2</t>
  </si>
  <si>
    <t>https://www.atacadosaopaulo.com.br/dvd-r-4-7gb-120min-16x-dv061---50un---multilaser/p</t>
  </si>
  <si>
    <t>https://www.amazon.com.br/Papel-Sulfite-297X420-Branco-CHAMEX/dp/B076J3J5R9/ref=sr_1_4?__mk_pt_BR=%C3%85M%C3%85%C5%BD%C3%95%C3%91&amp;crid=39ORY817UF941&amp;dib=eyJ2IjoiMSJ9.JjGbeO9ZAAZlU0A8-2e_TMqkLsdDc2G9zyjAcU1wHAj1HivB_qV-goPxjSmb41vjXEyKeOEdvz57xbEJUejbkxTZ7E3GUj5XaZj3F9rTu_yi7VsNqPsvzeWeXG_SPoadb-gkKYoemw0ccDbuNXTV0MUO-JIL012BTyMAj40cDz2aeCpNZ_aM3xPv-jImRVzfLqwzTvCeH9d7NSt8gTVpDWIB-pPffUVmYjI-YXEYT16M9nkGBXDOFLAfSEyuN2BBKrjH745vSXL7PkJy32c6S4xy-sodIZc-QNcpE6oymu4.WpToW8m1PWson57MxdIWsBOLEuwrYzeFhVswKIrE-fE&amp;dib_tag=se&amp;keywords=papel+a3&amp;qid=1719328386&amp;sprefix=papel+a%2Caps%2C207&amp;sr=8-4</t>
  </si>
  <si>
    <t>https://www.atacadosaopaulo.com.br/papel-a3-297x420-75g-m2---500fl---chamex/p</t>
  </si>
  <si>
    <t>https://www.kalunga.com.br/prod/papel-sulfite-a3-75g-297mmx420mm-chamex-pt-500-fl/476092</t>
  </si>
  <si>
    <t>Perim</t>
  </si>
  <si>
    <t>Extraplus</t>
  </si>
  <si>
    <t>https://www.extrabom.com.br/p/a-gua-mineral-natural-pedra-azul-20l-sem-o-vasilhame/5749/</t>
  </si>
  <si>
    <t>https://www.perim.com.br/produtos/detalhe/11221/agua-mineral-acqua-reale-20l-sem-galao</t>
  </si>
  <si>
    <t>https://www.extraplus.com.br/p/agua-mineral-natural-pedra-azul-20l-sem-o-vasilhame/5749/</t>
  </si>
  <si>
    <t>https://www.extrabom.com.br/p/cafe-em-po-3-coracoes-extraforte-500g/7927/</t>
  </si>
  <si>
    <t>https://www.sitemercado.com.br/saojose/vitoria-sao-jose-supermercados-praia-do-canto-rua-manoel-goncalves-carneiro/produto/cafe-3-coracoes-500g-extra-forte</t>
  </si>
  <si>
    <t>https://www.atacadosaopaulo.com.br/acucar-cristal-5kg-%7C-un-%7C-santa-isabel/p</t>
  </si>
  <si>
    <t>https://www.sitemercado.com.br/saojose/vitoria-sao-jose-supermercados-praia-do-canto-rua-manoel-goncalves-carneiro/produto/acucar-cristal-santa-isabel-5kg</t>
  </si>
  <si>
    <t>M. Livre</t>
  </si>
  <si>
    <t>https://www.americanas.com.br/produto/2128983341/caixa-de-copo-descartavel-200ml-branco-c-2500-unids-copoplast?pfm_carac=caixa-copo-descartabel&amp;pfm_index=4&amp;pfm_page=search&amp;pfm_pos=grid&amp;pfm_type=search_page&amp;offerId=5f74c1cb1b186381b540bbfe</t>
  </si>
  <si>
    <t>https://produto.mercadolivre.com.br/MLB-2169999182-copo-200ml-flex-transparente-descartavel-ps-2500-copos-full-_JM#position=13&amp;search_layout=stack&amp;type=item&amp;tracking_id=776654cd-f415-4186-973b-03ae64e2a9c8</t>
  </si>
  <si>
    <t>https://www.atacadosaopaulo.com.br/caixa-copo-descartavel-200ml-branco-agua-coposul---2500-unidades/p</t>
  </si>
  <si>
    <t>https://www.americanas.com.br/produto/5729420093/copo-descartavel-50ml-branco-copoplast-caixa-com-5-000-unidades?pfm_carac=caixa-copo-descartavel-50ml&amp;pfm_index=3&amp;pfm_page=search&amp;pfm_pos=grid&amp;pfm_type=search_page&amp;offerId=6304daa5adbc5f39b95f5013</t>
  </si>
  <si>
    <t>https://produto.mercadolivre.com.br/MLB-3468371827-copo-cafe-50ml-descartavel-5000-unidades-caixa-full-_JM?vip_filters=shipping:fulfillment#position=1&amp;search_layout=grid&amp;type=item&amp;tracking_id=22d1abed-891c-43aa-a75e-54b847e6060a</t>
  </si>
  <si>
    <t>https://www.perim.com.br/produtos/detalhe/6033/cafe-torrado-e-moido-extraforte-3-coracoes-pacote-500g</t>
  </si>
  <si>
    <t>https://www.extraplus.com.br/p/acucar-cristal-alcon-5kg/39157/</t>
  </si>
  <si>
    <t>https://www.extra.com.br/copo-descartavel-50ml-cafe-cafezinho-cha-copinho-c-5000-un/p/1563137961?utm_campaign=gg_pmax_core_elpo&amp;utm_medium=cpc&amp;utm_source=gp_pla</t>
  </si>
  <si>
    <t>https://produto.mercadolivre.com.br/MLB-1405354839-dvd-r-multilaser-pino-c50-47gb-16x-_JM#position=13&amp;search_layout=stack&amp;type=item&amp;tracking_id=4b12a412-aa89-498d-96b4-2d0c5a60ac15</t>
  </si>
  <si>
    <t>https://www.kalunga.com.br/prod/cola-branca-liquida-40g-master-1-un/214609</t>
  </si>
  <si>
    <t>https://produto.mercadolivre.com.br/MLB-3493559621-fita-adesiva-durex-transparente-empacotamento-18mmx50m-c7un-_JM#position=23&amp;search_layout=grid&amp;type=item&amp;tracking_id=5101acf8-d733-4aaa-84d7-b64b4d39b996</t>
  </si>
  <si>
    <t>https://www.atacadosaopaulo.com.br/esponja-multiuso-dupla-face-37866---10un---nobre/p</t>
  </si>
  <si>
    <t>https://www.americanas.com.br/produto/7476911902/esponja-dupla-face-c-10un-superpro-bettanin?pfm_carac=esponja-dupla-face&amp;pfm_index=20&amp;pfm_page=search&amp;pfm_pos=grid&amp;pfm_type=search_page&amp;offerId=6569c6a0cc553093858507bb</t>
  </si>
  <si>
    <t>https://www.extra.com.br/esponja-dupla-face-com-10-unidades-scotch-brite-3m/p/4807994?utm_source=gp_pla&amp;utm_medium=cpc&amp;utm_campaign=gg_pmax_core_elpo</t>
  </si>
  <si>
    <t>https://www.extrabom.com.br/p/desinfetante-pinho-urca-lavanda-5l/109725/</t>
  </si>
  <si>
    <t>https://www.carone.com.br/desinfetante-urca-lavanda-5l-74016/p</t>
  </si>
  <si>
    <t>https://www.atacadosaopaulo.com.br/desinfetante-5lt-lavanda---un---urca/p</t>
  </si>
  <si>
    <t>Papel higiênico 30m (12 und)</t>
  </si>
  <si>
    <t>https://mercado.carrefour.com.br/papel-higienico-mimmo-folha-dupla-com-12-rolos-oferta-especial-6255078/p</t>
  </si>
  <si>
    <t>https://www.carone.com.br/papel-higienico-neutro-mimmo-folha-dupla-30m-leve-12-pague-11-120780/p</t>
  </si>
  <si>
    <t>https://www.extrabom.com.br/p/papel-higienico-folha-dupla-mimmo-neutro-30m-leve-12-pague-11und/96558/</t>
  </si>
  <si>
    <t>https://www.atacadosaopaulo.com.br/papel-toalha-branco-20-5-x-20-cm-silver-a2-%7C-1000fls-%7C-belipel/p</t>
  </si>
  <si>
    <t>https://www.americanas.com.br/produto/6306591544/papel-toalha-interfolhado-20x21-boa-qualidade-branco-2-dobras-1000-folhas?pfm_carac=papel-toalha&amp;pfm_index=7&amp;pfm_page=search&amp;pfm_pos=grid&amp;pfm_type=search_page&amp;offerId=63599eb0b1efc389fc59b0c6</t>
  </si>
  <si>
    <t>https://www.extra.com.br/papel-toalha-interfolhado-pierre-20x21-branco-luxo/p/1565752674?utm_source=gp_pla&amp;utm_medium=cpc&amp;utm_campaign=gg_pmax_core_elpo</t>
  </si>
  <si>
    <t>https://www.atacadosaopaulo.com.br/sabao-em-po-astra-5kg-%7C-un-%7C-barra/p</t>
  </si>
  <si>
    <t>https://www.americanas.com.br/produto/9793999/sabao-em-po-azul-com-5kg-class?pfm_carac=sabao-em-po-5kg&amp;pfm_index=5&amp;pfm_page=search&amp;pfm_pos=grid&amp;pfm_type=search_page&amp;offerId=592828ee1f09073c7eb5424c</t>
  </si>
  <si>
    <t>https://www.extra.com.br/lava-roupas-sabao-em-po-perfumado-5kg-ultra-class/p/1560476965?utm_source=gp_pla&amp;utm_medium=cpc&amp;utm_campaign=gg_pmax_core_elpo</t>
  </si>
  <si>
    <t>Cód.</t>
  </si>
  <si>
    <t>https://www.atacadosaopaulo.com.br/sabonete-liquido-5l-eco-blue-lavanda---un---premisse/p</t>
  </si>
  <si>
    <t>https://www.carrefour.com.br/sabonete-liquido-5l---luna-s-secret-mp914607609/p</t>
  </si>
  <si>
    <t>https://www.americanas.com.br/produto/7465113759/sabonete-liquido-perolizado-talco-altz-5-litros-archote?pfm_carac=sabonete-liquido-5l&amp;pfm_index=2&amp;pfm_page=search&amp;pfm_pos=grid&amp;pfm_type=search_page&amp;offerId=64de8c14579fbc8d91c09350&amp;buyboxToken=smartbuybox-acom-v2-b893a312-db23-4da8-a96b-7a39639eb1f1-2024-06-27%2012%3A51%3A26%200000-none-default</t>
  </si>
  <si>
    <t>https://www.americanas.com.br/produto/7470500307/saco-lixo-20l-0-7-kg-preto-100un?pfm_carac=saco-de-lixo-20l&amp;pfm_index=2&amp;pfm_page=search&amp;pfm_pos=grid&amp;pfm_type=search_page&amp;offerId=651bfce0cc55309385f3f88d</t>
  </si>
  <si>
    <t>https://www.carrefour.com.br/saco-de-lixo-20l-preto-tonovale-c100-unidades-tonovale-mp923035972/p</t>
  </si>
  <si>
    <t>https://www.atacadosaopaulo.com.br/saco-de-lixo-preto-20-litros-m2-%7C-100un-%7C-papelial/p</t>
  </si>
  <si>
    <t>https://www.americanas.com.br/produto/6984491673/saco-para-lixo-60-litros-100-unds-indicado-para-lixo-leve?pfm_carac=saco-de-lixo-60l&amp;pfm_index=14&amp;pfm_page=search&amp;pfm_pos=grid&amp;pfm_type=search_page&amp;offerId=653457a0cc553093857de736</t>
  </si>
  <si>
    <t>https://www.extra.com.br/saco-para-lixo-60-litros-azul-100-unidades-induplast/p/1559570253</t>
  </si>
  <si>
    <t>https://www.atacadosaopaulo.com.br/saco-de-lixo-preto-60-litros-m2-%7C-100un-%7C-papelial/p</t>
  </si>
  <si>
    <t>https://www.extra.com.br/saco-para-lixo-100l-pesado-com-100-un-induplast/p/1567596728</t>
  </si>
  <si>
    <t>https://www.americanas.com.br/produto/5075020356/saco-de-lixo-super-reforcado-100-litros-100-unidades?pfm_carac=saco-de-lixo-100l&amp;pfm_index=6&amp;pfm_page=search&amp;pfm_pos=grid&amp;pfm_type=search_page&amp;offerId=627c918e87c00289c27a1751&amp;cor=Preto&amp;condition=NEW</t>
  </si>
  <si>
    <t>https://www.atacadosaopaulo.com.br/saco-de-lixo-preto-pesado-100-litros-m5-%7C-100un-%7C-papelial/p</t>
  </si>
  <si>
    <t>https://www.carone.com.br/limpa-vidros-veja-vidrex-tradicional-500ml-104432/p</t>
  </si>
  <si>
    <t>https://www.extrabom.com.br/p/limpa-vidros-veja-vidrex-tradicional-500ml-oferta/40727/</t>
  </si>
  <si>
    <t>https://mercado.carrefour.com.br/limpa-vidros-veja-vidrex-tradicional-500ml-781428/p</t>
  </si>
  <si>
    <t>https://www.atacadosaopaulo.com.br/detergente-5-litros-neutro-%7C-un-%7C-limpol/p</t>
  </si>
  <si>
    <t>https://mercado.carrefour.com.br/detergente-liquido-clear-ype-5-l-7838239/p</t>
  </si>
  <si>
    <t>https://www.extrabom.com.br/p/detergente-liquido-lava-loucas-limpol-cristal-5l/178803/</t>
  </si>
  <si>
    <t>https://www.carone.com.br/esponja-de-aco-bombril-8-unidades-60g-10787/p</t>
  </si>
  <si>
    <t>https://mercado.carrefour.com.br/la-de-aco-bombril-com-8-unidades-cozinha-60g-255092/p</t>
  </si>
  <si>
    <t>https://www.extrabom.com.br/p/la-de-aco-bombril-60g-com-8und/3354/</t>
  </si>
  <si>
    <t>IC-K2.01</t>
  </si>
  <si>
    <t>IC-K2.02</t>
  </si>
  <si>
    <t>IC-K2.03</t>
  </si>
  <si>
    <t>IC-K2.04</t>
  </si>
  <si>
    <t>IC-K2.05</t>
  </si>
  <si>
    <t>IA-K2.01</t>
  </si>
  <si>
    <t>IA-K2.02</t>
  </si>
  <si>
    <t>IA-K2.03A</t>
  </si>
  <si>
    <t>IA-K2.03B</t>
  </si>
  <si>
    <t>IA-K2.04</t>
  </si>
  <si>
    <t>IA-K2.05</t>
  </si>
  <si>
    <t>IA-K2.06</t>
  </si>
  <si>
    <t>IA-K2.07</t>
  </si>
  <si>
    <t>IA-K2.08</t>
  </si>
  <si>
    <t>IA-K2.09</t>
  </si>
  <si>
    <t>IA-K2.10</t>
  </si>
  <si>
    <t>IA-K2.11</t>
  </si>
  <si>
    <t>IA-K2.12</t>
  </si>
  <si>
    <t>IA-K2.13</t>
  </si>
  <si>
    <t>IA-K2.14</t>
  </si>
  <si>
    <t>IA-K2.15</t>
  </si>
  <si>
    <t>IA-K2.16</t>
  </si>
  <si>
    <t>IL-K2.01</t>
  </si>
  <si>
    <t>IL-K2.02</t>
  </si>
  <si>
    <t>IL-K2.03</t>
  </si>
  <si>
    <t>IL-K2.04</t>
  </si>
  <si>
    <t>IL-K2.05</t>
  </si>
  <si>
    <t>IL-K2.06</t>
  </si>
  <si>
    <t>IL-K2.07</t>
  </si>
  <si>
    <t>IL-K2.08</t>
  </si>
  <si>
    <t>IL-K2.09</t>
  </si>
  <si>
    <t>IL-K2.10</t>
  </si>
  <si>
    <t>IL-K2.11</t>
  </si>
  <si>
    <t>IL-K2.12</t>
  </si>
  <si>
    <t>pct</t>
  </si>
  <si>
    <r>
      <t xml:space="preserve">Memorial de Índices - </t>
    </r>
    <r>
      <rPr>
        <b/>
        <sz val="12"/>
        <rFont val="Arial Narrow"/>
        <family val="2"/>
      </rPr>
      <t>Materiais de Limpeza - Composição de Custo - K2</t>
    </r>
  </si>
  <si>
    <t>Considerou-se a utilização de 02 (duas) esponjas por mês.</t>
  </si>
  <si>
    <t xml:space="preserve">Cálculo: 2,00 litros / 5,00 litros: coef. 0,40 und de Desinfetante. </t>
  </si>
  <si>
    <t>Considerou-se a utilização de 2,00 (dois) litros de desinfetante por mês.</t>
  </si>
  <si>
    <t>Cálculo: 2,00 unidades / 10 (dez) unidades: Coef.: 0,20 pct</t>
  </si>
  <si>
    <t>Considerou-se 22 dias no mês para um pct de 12 unidades.</t>
  </si>
  <si>
    <t>Considerou-se 1,00 pacote / mês.</t>
  </si>
  <si>
    <t>Cálculo: 1,00 pct para 22,00 dias. Coef. 1,00.</t>
  </si>
  <si>
    <t>Cálculo: 12,00 unidades para 22,00 dias. Coef.: 1,00.</t>
  </si>
  <si>
    <t>Considerou-se o consumo de 1,00 kg / mês.</t>
  </si>
  <si>
    <t>Cálculo: 1,00 kg / pct de 5,00kg. Coef.: 0,20.</t>
  </si>
  <si>
    <t>Considerou-se a utilização de 2,00 sacos por semana.</t>
  </si>
  <si>
    <t>Cálculo: (2,00 unds * 4,00 semanas) / 100,00 unds.</t>
  </si>
  <si>
    <t>Cálculo: (4,00 unds * 4,00 semanas) / 100,00 unds.</t>
  </si>
  <si>
    <t>Considerou-se a utilização de 4,00 sacos por semana.</t>
  </si>
  <si>
    <t>Considerou-se a utilização de 1,00 saco por semana.</t>
  </si>
  <si>
    <t>Cálculo: (1,00 unds * 4,00 semanas) / 100,00 unds.</t>
  </si>
  <si>
    <t>Considerou-se o consumo de 1,00 und por mês.</t>
  </si>
  <si>
    <t>Cálculo: 1,00 und / mês.</t>
  </si>
  <si>
    <t>Considerou-se o consumo de 1,00 l / mês.</t>
  </si>
  <si>
    <t>Cálculo: 1,00l / pct de 5,00lts. Coef.: 0,20.</t>
  </si>
  <si>
    <t>Considerou-se o consumo de 1,00 und por quinzena.</t>
  </si>
  <si>
    <t>Cálculo: (1,00 und * 2,00 quinzenas no mês) / 8,00 unds</t>
  </si>
  <si>
    <t>https://www.mercadolivre.com.br/caixa-10-pacotes-resmas-papel-a4-sulfite-chamex-5000-folhas-cor-branco/p/MLB21791972#searchVariation=MLB21791972&amp;position=22&amp;search_layout=grid&amp;type=product&amp;tracking_id=a096bdce-1d8f-4d05-b568-cfca82f72e50</t>
  </si>
  <si>
    <t>Papel A4 (10 resmas com 500 folhas)</t>
  </si>
  <si>
    <t>Estima-se o consumo de 2.000 (duas mil) folhas por mês.</t>
  </si>
  <si>
    <t>Cálculo: 2.000 fls. / 5.000 fls. (Caixa).</t>
  </si>
  <si>
    <t>Caneta esferográfica vermelha (Caixa 50 und)</t>
  </si>
  <si>
    <t>Estima-se o consumo de 2,00 canetas por mês.</t>
  </si>
  <si>
    <t>Cálculo: 2,00 unds / 50 unds.</t>
  </si>
  <si>
    <t>Cálculo: 2,50 unds / 50 unds.</t>
  </si>
  <si>
    <t>Caneta esferográfica azul (Caixa 50 und)</t>
  </si>
  <si>
    <t>Estima-se o consumo de 5,00 canetas a cada dois mêses.</t>
  </si>
  <si>
    <t>Estima-se o consumo de 3,00 unidades de marca texto a cada dois meses.</t>
  </si>
  <si>
    <t>Cálculo: 1,50 unds por mês / 12,00 unds.</t>
  </si>
  <si>
    <t>Estima-se o consumo de 1/2 caixa por mês.</t>
  </si>
  <si>
    <t>Cálculo: 0,50 caixas.</t>
  </si>
  <si>
    <t>Estima-se o consumo de 1,00 tubo de cola a cada três meses.</t>
  </si>
  <si>
    <t>Cálculo: (1,00 und / 3,00 meses) * (1,00 und / 12,00 unds).</t>
  </si>
  <si>
    <t>Estima-se o consumo de 20 envelopes por mês.</t>
  </si>
  <si>
    <t>Cálculo: 20,00 und / 100,00 unds.</t>
  </si>
  <si>
    <t>Estima-se o consumo de 1,00 und por mês.</t>
  </si>
  <si>
    <t>Cálculo: 1,00 und / 7,00 unds.</t>
  </si>
  <si>
    <t>Consumo previsto de 2,00 minas por mês.</t>
  </si>
  <si>
    <t>Cálculo: (2,00 minas por mês / 12,00 minas na caixa) * (1,00 pacote / 12,00 caixas)</t>
  </si>
  <si>
    <t>Estima-se uma lapiseira por ano.</t>
  </si>
  <si>
    <t>Cálculo: 1,00 und / 12,00 meses.</t>
  </si>
  <si>
    <t>cx</t>
  </si>
  <si>
    <t>Estima-se o consumo de 1,00 caixa a cada dois meses.</t>
  </si>
  <si>
    <t>Cálculo: 1,00 caixa / 2,00 meses.</t>
  </si>
  <si>
    <t>Estima-se o consumo de 50,00 unds a cada 24 meses.</t>
  </si>
  <si>
    <t>Cálculo: 1,00 caixa / 24,00 meses.</t>
  </si>
  <si>
    <t>Estima-se o consumo de 1,00 pct por ano.</t>
  </si>
  <si>
    <t>Cálculo: 1,00 pct / 12,00 meses.</t>
  </si>
  <si>
    <r>
      <t xml:space="preserve">Memorial de Índices - </t>
    </r>
    <r>
      <rPr>
        <b/>
        <sz val="12"/>
        <rFont val="Arial Narrow"/>
        <family val="2"/>
      </rPr>
      <t>Materiais de Escritório - Composição de Custo - K2</t>
    </r>
  </si>
  <si>
    <t>gl</t>
  </si>
  <si>
    <t>Estima-se o consumo de 1,00 galão por semana.</t>
  </si>
  <si>
    <t>Cálculo: 1,00 galão por semana * 4,00 semanas.</t>
  </si>
  <si>
    <t>Estima-se o consumo de 1,00 pct por semana.</t>
  </si>
  <si>
    <t>Cálculo: 1,00 pct por semana * 4,00 semanas.</t>
  </si>
  <si>
    <t>Estima-se o consumo de 1,00 pct por mês.</t>
  </si>
  <si>
    <t>Cálculo: 1,00 pct por mês.</t>
  </si>
  <si>
    <t>Estima-se o consumo de uma caixa com 2.500 unds a cada 8,00 meses.</t>
  </si>
  <si>
    <t>Estima-se o consumo de uma caixa com 5.000 unds a cada 15,00 meses.</t>
  </si>
  <si>
    <t>Cálculo: 1 Caixa / 15,00 meses.</t>
  </si>
  <si>
    <t>Cálculo: 1,00 caixa / 8,00 meses.</t>
  </si>
  <si>
    <t>Estima-se o consumo de 2,00 borrachas a cada 3,00 meses.</t>
  </si>
  <si>
    <t>Cálculo: (8,00 borrachas por ano / 24,00 und)</t>
  </si>
  <si>
    <t>Caneta marca texto (Caixa com 12und)</t>
  </si>
  <si>
    <t>Materiais de Limpeza</t>
  </si>
  <si>
    <t>Total C</t>
  </si>
  <si>
    <t>Insumo - Cotação de Mercado</t>
  </si>
  <si>
    <r>
      <t>ORÇAMENTISTAS:</t>
    </r>
    <r>
      <rPr>
        <sz val="12"/>
        <rFont val="Arial Narrow"/>
        <family val="2"/>
      </rPr>
      <t xml:space="preserve"> </t>
    </r>
  </si>
  <si>
    <t>12 (doze) meses</t>
  </si>
  <si>
    <t>02 mês x 176 horas/mês</t>
  </si>
  <si>
    <t>CP.01</t>
  </si>
  <si>
    <t>CP.02</t>
  </si>
  <si>
    <t>CP.03</t>
  </si>
  <si>
    <t>CP.04</t>
  </si>
  <si>
    <t>CP.05</t>
  </si>
  <si>
    <t>CP.06</t>
  </si>
  <si>
    <r>
      <t>Serviço:</t>
    </r>
    <r>
      <rPr>
        <sz val="10"/>
        <rFont val="Arial Narrow"/>
        <family val="2"/>
      </rPr>
      <t xml:space="preserve"> Regularização Urbanística e Fundiária de Interesse Social dos Núcleos Urbanos Informais.</t>
    </r>
  </si>
  <si>
    <r>
      <t xml:space="preserve">Serviço: </t>
    </r>
    <r>
      <rPr>
        <sz val="12"/>
        <rFont val="Arial Narrow"/>
        <family val="2"/>
      </rPr>
      <t>Regularização Urbanística e Fundiária de Interesse Social dos Núcleos Urbanos Informais.</t>
    </r>
  </si>
  <si>
    <r>
      <rPr>
        <b/>
        <sz val="12"/>
        <rFont val="Arial Narrow"/>
        <family val="2"/>
      </rPr>
      <t>Serviço:</t>
    </r>
    <r>
      <rPr>
        <sz val="12"/>
        <rFont val="Arial Narrow"/>
        <family val="2"/>
      </rPr>
      <t xml:space="preserve"> Regularização Urbanística e Fundiária de Interesse Social dos Núcleos Urbanos Informais.</t>
    </r>
  </si>
  <si>
    <t>Desenhista Projetista (Horista)</t>
  </si>
  <si>
    <t>17</t>
  </si>
  <si>
    <t>18</t>
  </si>
  <si>
    <t>19</t>
  </si>
  <si>
    <t>20</t>
  </si>
  <si>
    <t>21</t>
  </si>
  <si>
    <t>22</t>
  </si>
  <si>
    <t>23</t>
  </si>
  <si>
    <t>24</t>
  </si>
  <si>
    <t>Período de Execução - Ano 01</t>
  </si>
  <si>
    <t>Período de Execução - Ano 02</t>
  </si>
  <si>
    <t>P/ Cronograma</t>
  </si>
  <si>
    <t>Bairro</t>
  </si>
  <si>
    <t>Administrativo Local da Regularização Fundiária com Geração de Relatório (Mês)</t>
  </si>
  <si>
    <t>CPU.005A</t>
  </si>
  <si>
    <t>Administrativo Local da Regularização Fundiária com Geração de Relatório</t>
  </si>
  <si>
    <t>vb</t>
  </si>
  <si>
    <r>
      <t>Memorial de Índices -</t>
    </r>
    <r>
      <rPr>
        <b/>
        <sz val="11"/>
        <rFont val="Arial Narrow"/>
        <family val="2"/>
      </rPr>
      <t xml:space="preserve"> Administrativo Local da Regularização Fundiária com Geração de Relatório (mês)</t>
    </r>
  </si>
  <si>
    <r>
      <t>Memorial de Índices -</t>
    </r>
    <r>
      <rPr>
        <b/>
        <sz val="11"/>
        <rFont val="Arial Narrow"/>
        <family val="2"/>
      </rPr>
      <t xml:space="preserve"> Administrativo Local da Regularização Fundiária com Geração de Relatório</t>
    </r>
  </si>
  <si>
    <t>Para transformação da unidade da composição em verba, a unidade é relativa ao tempo do projeto, conforme descrito na composição CPU.005.</t>
  </si>
  <si>
    <t>Resalta-se que a composição de mão de obra e insumos relativos ao administrativo local, já encontra-se com os índices calculados e descritos no memorial da CPU.005.</t>
  </si>
  <si>
    <t>Administrativo Local da Regularização Fundiária com Geração de Relatório (mês)</t>
  </si>
  <si>
    <t>24,00 meses x Custo Mensal de Administrativo Local (CPU.005)</t>
  </si>
  <si>
    <t>Durante o período de execução da regularização fundiária, é multiplicado os custos mensais (CPU.005) pelo período de execução, conforme demonstrado abaixo:</t>
  </si>
  <si>
    <t>Administrativo Local da Regularização Fundiária com Geração de Relatório (mês)*</t>
  </si>
  <si>
    <t>*Obs.:O custo do administrativo local mensal, conforme especificado na Composição CPU.005, reflete os valores estimados para a equipe responsável pelo acompanhamento e gestão do projeto ao longo de sua execução. Este quantitativo está diretamente vinculado ao prazo de conclusão do objeto contratado, sendo convertido em uma unidade de verba (vb), com o objetivo de garantir a execução pontual do contrato. O valor atribuído corresponde ao montante máximo previsto para a execução total do objeto, exceto em situações de força maior, que possam justificar atrasos no cumprimento dos prazos estipulados.</t>
  </si>
  <si>
    <t>1. Orçamento elaborado pela equipe de Engenharia da Secretaria Municipal de Habitação e Regularização Fundiária, Prefeitura Municipal de Colatina.</t>
  </si>
  <si>
    <t>Secretaria Municipal de Habitação e Regularização Fundiária</t>
  </si>
  <si>
    <t>Prefeitura Municipal de Colatina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</si>
  <si>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</si>
  <si>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</si>
  <si>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</si>
  <si>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</si>
  <si>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</si>
  <si>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</si>
  <si>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</si>
  <si>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</si>
  <si>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</si>
  <si>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</si>
  <si>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</si>
  <si>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</si>
  <si>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Período de Execução - Ano 03</t>
  </si>
  <si>
    <t>PMC</t>
  </si>
  <si>
    <t>Nossa Senhora Aparecida - R01</t>
  </si>
  <si>
    <t>Área</t>
  </si>
  <si>
    <t>Lotes</t>
  </si>
  <si>
    <t>Nossa Senhora Aparecida - R02</t>
  </si>
  <si>
    <t>São Braz</t>
  </si>
  <si>
    <t>São Pedro</t>
  </si>
  <si>
    <t>São Marcos</t>
  </si>
  <si>
    <t>Novo Horizonte</t>
  </si>
  <si>
    <t>R. Frederico Botan x João Tinelli (Honório Fraga)</t>
  </si>
  <si>
    <t>Honório Fraga</t>
  </si>
  <si>
    <t>Santo Antônio</t>
  </si>
  <si>
    <t>Vila Amélia</t>
  </si>
  <si>
    <t>Vila Real</t>
  </si>
  <si>
    <t>Fioravante Marino</t>
  </si>
  <si>
    <t>Santos Dumont / Aeroporto</t>
  </si>
  <si>
    <t>Vista Linda I</t>
  </si>
  <si>
    <t>Vista Linda II</t>
  </si>
  <si>
    <t>Morro Azul</t>
  </si>
  <si>
    <t>Industrial Alves Marques</t>
  </si>
  <si>
    <t>Quinze de Outubro - Gleba 01</t>
  </si>
  <si>
    <t>Quinze de Outubro - Gleba 02</t>
  </si>
  <si>
    <t>Quinze de Outubro - Gleba 03</t>
  </si>
  <si>
    <t>Gordiano Guimarães</t>
  </si>
  <si>
    <t>Reta Grande</t>
  </si>
  <si>
    <t>Paul da Graça Aranha</t>
  </si>
  <si>
    <t>Robson Eli Terezani</t>
  </si>
  <si>
    <t>Av. Costa Rica x Rio de Janeiro</t>
  </si>
  <si>
    <t>Itapina</t>
  </si>
  <si>
    <t>Lacê</t>
  </si>
  <si>
    <t>Maria das Graças</t>
  </si>
  <si>
    <t>São Vicente</t>
  </si>
  <si>
    <t>São Judas Tadeu</t>
  </si>
  <si>
    <t>Bela Vista</t>
  </si>
  <si>
    <t>Colatina Velha</t>
  </si>
  <si>
    <t>Alto Vila Nova</t>
  </si>
  <si>
    <t>Vila Lenira</t>
  </si>
  <si>
    <t>Olívio Zanotelli</t>
  </si>
  <si>
    <t>Boapaba</t>
  </si>
  <si>
    <t>Total:</t>
  </si>
  <si>
    <t>5. Fora utilizada a data-base "outubro de 2024", reajustada pelo Índice de Reajustamento de Obras Rodoviárias (DNIT), Descrição de Consultoria (Supervisão e Projetos) para agosto de 2025.</t>
  </si>
  <si>
    <t>1. Fora utilizada a data-base "outubro de 2024", reajustada pelo Índice de Reajustamento de Obras Rodoviárias (DNIT), Descrição de Consultoria (Supervisão e Projetos) para agosto de 2025.</t>
  </si>
  <si>
    <t>agosto, 2025</t>
  </si>
  <si>
    <t>2. Data-base: maio de 2025 (SINAPI e DER-ES, outubro de 2024, reajustada para agosto de 2025, de acordo com a IN nº 59/2021, publicada no Boletim DNIT nº 178 de setembro de 2021).</t>
  </si>
  <si>
    <t>Descrição e composição do Fator K</t>
  </si>
  <si>
    <t>O Fator K corresponde ao coeficiente multiplicador aplicado sobre os custos diretos de mão de obra, com o objetivo de compor o custo total da obra trabalha nas atividades do projeto.</t>
  </si>
  <si>
    <t>Esse fator agrega os encargos sociais, despesas indiretas, tributos e lucro, de forma a refletir o custo real de execução dos serviços pela contratada, conforme metodologia usualmente adotada em composições de custos de engenharia e em conformidade com práticas reconhecidas por órgãos públicos e de controle.</t>
  </si>
  <si>
    <t>A composição do Fator K adotado neste contrato é a seguinte:</t>
  </si>
  <si>
    <t>Componente</t>
  </si>
  <si>
    <t>Percentual</t>
  </si>
  <si>
    <t>Observação</t>
  </si>
  <si>
    <t>K1 - Leis Sociais</t>
  </si>
  <si>
    <t>Encargos trabalhistas e previdenciários incidentes sobre a folha de pagamento da equipe técnica.</t>
  </si>
  <si>
    <t>Percentual definido com base no Termo de Ajustamento de Conduta (TAC) firmado pelo Ministério Público do Estado do Espírito Santo.</t>
  </si>
  <si>
    <t>K2 - Despesas Gerais</t>
  </si>
  <si>
    <t>Custos indiretos relacionados à manutenção de escritório, deslocamentos e administração local.</t>
  </si>
  <si>
    <t>Calculado com base na razão entre os custos administrativos no município e o custo total do projeto.</t>
  </si>
  <si>
    <t>K3 - Lucro</t>
  </si>
  <si>
    <t>Margem de remuneração da contratada.</t>
  </si>
  <si>
    <t>Percentual máximo estabelecido pela Codevasf e adotado como referência técnica.</t>
  </si>
  <si>
    <t>K4 - Impostos</t>
  </si>
  <si>
    <t>Incidência de tributos sobre o faturamento.</t>
  </si>
  <si>
    <t>Composição: ISS (5,00%) + PIS (0,65%) + COFINS (3,00%).</t>
  </si>
  <si>
    <t>Para os insumos não sujeitos à incidência de encargos trabalhistas — como materiais, equipamentos, softwares e serviços terceirizados —, adota-se o Fator KR = 1,20, correspondente ao percentual de Taxa de Ressarcimento de Despesas e Encargos (TRDE).</t>
  </si>
  <si>
    <t>Em síntese:</t>
  </si>
  <si>
    <r>
      <rPr>
        <b/>
        <sz val="12"/>
        <rFont val="Arial Narrow"/>
        <family val="2"/>
      </rPr>
      <t>FATOR K:</t>
    </r>
    <r>
      <rPr>
        <sz val="12"/>
        <rFont val="Arial Narrow"/>
        <family val="2"/>
      </rPr>
      <t xml:space="preserve"> percentual incidente sobre a mão de obra direta, englobando encargos, despesas gerais, tributos e lucro.</t>
    </r>
  </si>
  <si>
    <r>
      <rPr>
        <b/>
        <sz val="12"/>
        <rFont val="Arial Narrow"/>
        <family val="2"/>
      </rPr>
      <t>FATOR KR:</t>
    </r>
    <r>
      <rPr>
        <sz val="12"/>
        <rFont val="Arial Narrow"/>
        <family val="2"/>
      </rPr>
      <t xml:space="preserve"> percentual incidente sobre demais insumos, representando o ressarcimento proporcional das despesas administrativas e tributárias relacionadas.</t>
    </r>
  </si>
  <si>
    <r>
      <t xml:space="preserve">LOCAL: </t>
    </r>
    <r>
      <rPr>
        <sz val="10"/>
        <rFont val="Arial Narrow"/>
        <family val="2"/>
      </rPr>
      <t>Colatina, Espírito Santo</t>
    </r>
  </si>
  <si>
    <r>
      <t>LOCAL:</t>
    </r>
    <r>
      <rPr>
        <sz val="10"/>
        <rFont val="Arial Narrow"/>
        <family val="2"/>
      </rPr>
      <t xml:space="preserve"> Colatina, Espírito Santo</t>
    </r>
  </si>
  <si>
    <r>
      <t>LOCAL:</t>
    </r>
    <r>
      <rPr>
        <sz val="12"/>
        <rFont val="Arial Narrow"/>
        <family val="2"/>
      </rPr>
      <t xml:space="preserve"> Colatina, Espírito Santo</t>
    </r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</si>
  <si>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</si>
  <si>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</si>
  <si>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</si>
  <si>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</si>
  <si>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</si>
  <si>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</si>
  <si>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</si>
  <si>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</si>
  <si>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</si>
  <si>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</si>
  <si>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</si>
  <si>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</si>
  <si>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Período de Execução - Ano 04</t>
  </si>
  <si>
    <t>NUI</t>
  </si>
  <si>
    <t>Levantamento</t>
  </si>
  <si>
    <t>Cadastro</t>
  </si>
  <si>
    <t>Projeto</t>
  </si>
  <si>
    <t>Estudo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</si>
  <si>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</si>
  <si>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</si>
  <si>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</si>
  <si>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</si>
  <si>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</si>
  <si>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</si>
  <si>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</si>
  <si>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</si>
  <si>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</si>
  <si>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</si>
  <si>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</si>
  <si>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</si>
  <si>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Período de Execução - Ano 05</t>
  </si>
  <si>
    <t>A partir desses componentes, obteve-se o Fator K global de 2,26, aplicável sobre a mão de obra direta.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</si>
</sst>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[$-416]mmmm\-yy;@"/>
    <numFmt numFmtId="166" formatCode="_(* #,##0.00_);_(* \(#,##0.00\);_(* \-??_);_(@_)"/>
    <numFmt numFmtId="167" formatCode="_-&quot;€ &quot;* #,##0.00_-;&quot;-€ &quot;* #,##0.00_-;_-&quot;€ &quot;* \-??_-;_-@_-"/>
    <numFmt numFmtId="168" formatCode="_(&quot;R$ &quot;* #,##0.00_);_(&quot;R$ &quot;* \(#,##0.00\);_(&quot;R$ &quot;* &quot;-&quot;??_);_(@_)"/>
    <numFmt numFmtId="169" formatCode="&quot;R$&quot;\ #,##0.00"/>
    <numFmt numFmtId="170" formatCode="mmmm\,\ yyyy;@"/>
    <numFmt numFmtId="171" formatCode="0.00000"/>
    <numFmt numFmtId="173" formatCode="0.0000"/>
    <numFmt numFmtId="174" formatCode="&quot;Colatina/ES, &quot;dd\ &quot;de&quot;\ mmmm\ &quot;de&quot;\ yyyy\.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8"/>
      <name val="Arial Narrow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rgb="FFFF000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b/>
      <sz val="9"/>
      <name val="Arial Narrow"/>
      <family val="2"/>
    </font>
    <font>
      <b/>
      <sz val="12"/>
      <color rgb="FFFF000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indexed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2"/>
      <name val="Arial Narrow"/>
      <family val="2"/>
    </font>
    <font>
      <b/>
      <i/>
      <sz val="12"/>
      <name val="Arial Narrow"/>
      <family val="2"/>
    </font>
    <font>
      <b/>
      <i/>
      <sz val="11"/>
      <name val="Arial Narrow"/>
      <family val="2"/>
    </font>
    <font>
      <i/>
      <sz val="11"/>
      <name val="Arial Narrow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b/>
      <sz val="12"/>
      <color theme="1"/>
      <name val="Arial Narrow"/>
      <family val="2"/>
    </font>
    <font>
      <b/>
      <vertAlign val="subscript"/>
      <sz val="12"/>
      <color theme="1"/>
      <name val="Arial Narrow"/>
      <family val="2"/>
    </font>
    <font>
      <sz val="8"/>
      <name val="Arial"/>
      <family val="2"/>
    </font>
    <font>
      <i/>
      <sz val="12"/>
      <color rgb="FFFF000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u/>
      <sz val="10"/>
      <color theme="10"/>
      <name val="Arial"/>
      <family val="2"/>
    </font>
    <font>
      <b/>
      <sz val="10"/>
      <color rgb="FFFF0000"/>
      <name val="Arial Narrow"/>
      <family val="2"/>
    </font>
    <font>
      <sz val="12"/>
      <color rgb="FFFF0000"/>
      <name val="Arial Narrow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90">
    <xf numFmtId="0" fontId="0" fillId="0" borderId="0"/>
    <xf numFmtId="16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0" borderId="1" applyNumberFormat="0" applyFont="0" applyAlignment="0">
      <alignment horizontal="left" vertical="top" indent="1"/>
    </xf>
    <xf numFmtId="0" fontId="13" fillId="5" borderId="0" applyNumberFormat="0" applyBorder="0" applyAlignment="0" applyProtection="0"/>
    <xf numFmtId="0" fontId="14" fillId="22" borderId="12" applyNumberFormat="0" applyAlignment="0" applyProtection="0"/>
    <xf numFmtId="0" fontId="15" fillId="23" borderId="13" applyNumberFormat="0" applyAlignment="0" applyProtection="0"/>
    <xf numFmtId="166" fontId="9" fillId="0" borderId="0" applyFill="0" applyBorder="0" applyAlignment="0" applyProtection="0"/>
    <xf numFmtId="167" fontId="9" fillId="0" borderId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9" borderId="12" applyNumberFormat="0" applyAlignment="0" applyProtection="0"/>
    <xf numFmtId="0" fontId="22" fillId="0" borderId="17" applyNumberFormat="0" applyFill="0" applyAlignment="0" applyProtection="0"/>
    <xf numFmtId="168" fontId="10" fillId="0" borderId="0" applyFont="0" applyFill="0" applyBorder="0" applyAlignment="0" applyProtection="0"/>
    <xf numFmtId="0" fontId="23" fillId="24" borderId="0" applyNumberFormat="0" applyBorder="0" applyAlignment="0" applyProtection="0"/>
    <xf numFmtId="0" fontId="10" fillId="0" borderId="0"/>
    <xf numFmtId="0" fontId="9" fillId="25" borderId="18" applyNumberFormat="0" applyFont="0" applyAlignment="0" applyProtection="0"/>
    <xf numFmtId="0" fontId="24" fillId="22" borderId="19" applyNumberFormat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8" fillId="0" borderId="14" applyNumberFormat="0" applyFill="0" applyAlignment="0" applyProtection="0"/>
    <xf numFmtId="0" fontId="26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6" fontId="8" fillId="0" borderId="0" applyFill="0" applyBorder="0" applyAlignment="0" applyProtection="0"/>
    <xf numFmtId="167" fontId="8" fillId="0" borderId="0" applyFill="0" applyBorder="0" applyAlignment="0" applyProtection="0"/>
    <xf numFmtId="0" fontId="8" fillId="25" borderId="18" applyNumberFormat="0" applyFont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0" fontId="2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3" fillId="0" borderId="0"/>
    <xf numFmtId="44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67">
    <xf numFmtId="0" fontId="0" fillId="0" borderId="0" xfId="0"/>
    <xf numFmtId="4" fontId="33" fillId="0" borderId="0" xfId="0" applyNumberFormat="1" applyFont="1" applyAlignment="1">
      <alignment horizontal="center" vertical="center"/>
    </xf>
    <xf numFmtId="0" fontId="32" fillId="26" borderId="0" xfId="0" applyFont="1" applyFill="1" applyAlignment="1">
      <alignment horizontal="left" vertical="center"/>
    </xf>
    <xf numFmtId="4" fontId="35" fillId="26" borderId="0" xfId="0" applyNumberFormat="1" applyFont="1" applyFill="1" applyAlignment="1">
      <alignment horizontal="center" vertical="center"/>
    </xf>
    <xf numFmtId="4" fontId="32" fillId="0" borderId="0" xfId="0" applyNumberFormat="1" applyFont="1" applyAlignment="1">
      <alignment horizontal="center" vertical="center"/>
    </xf>
    <xf numFmtId="0" fontId="32" fillId="27" borderId="10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0" xfId="0" applyFont="1" applyBorder="1" applyAlignment="1">
      <alignment wrapText="1"/>
    </xf>
    <xf numFmtId="4" fontId="34" fillId="0" borderId="10" xfId="0" applyNumberFormat="1" applyFont="1" applyBorder="1" applyAlignment="1">
      <alignment horizontal="center" vertical="center"/>
    </xf>
    <xf numFmtId="44" fontId="34" fillId="0" borderId="10" xfId="81" applyFont="1" applyBorder="1" applyAlignment="1">
      <alignment vertical="center"/>
    </xf>
    <xf numFmtId="44" fontId="34" fillId="0" borderId="10" xfId="81" applyFont="1" applyFill="1" applyBorder="1" applyAlignment="1">
      <alignment horizontal="right" vertical="center" indent="1"/>
    </xf>
    <xf numFmtId="4" fontId="34" fillId="0" borderId="0" xfId="0" applyNumberFormat="1" applyFont="1" applyAlignment="1">
      <alignment horizontal="center" vertical="center"/>
    </xf>
    <xf numFmtId="4" fontId="34" fillId="0" borderId="0" xfId="0" applyNumberFormat="1" applyFont="1" applyAlignment="1">
      <alignment horizontal="center" vertical="center" wrapText="1"/>
    </xf>
    <xf numFmtId="44" fontId="34" fillId="0" borderId="0" xfId="81" applyFont="1" applyFill="1" applyAlignment="1">
      <alignment horizontal="center" vertical="center"/>
    </xf>
    <xf numFmtId="4" fontId="34" fillId="0" borderId="0" xfId="1" applyNumberFormat="1" applyFont="1" applyFill="1" applyAlignment="1">
      <alignment horizontal="center" vertical="center"/>
    </xf>
    <xf numFmtId="4" fontId="38" fillId="0" borderId="0" xfId="62" applyNumberFormat="1" applyFont="1" applyAlignment="1">
      <alignment horizontal="center" vertical="center"/>
    </xf>
    <xf numFmtId="4" fontId="38" fillId="2" borderId="0" xfId="62" applyNumberFormat="1" applyFont="1" applyFill="1" applyAlignment="1">
      <alignment horizontal="center" vertical="center"/>
    </xf>
    <xf numFmtId="165" fontId="38" fillId="2" borderId="0" xfId="62" applyNumberFormat="1" applyFont="1" applyFill="1" applyAlignment="1">
      <alignment horizontal="center" vertical="center"/>
    </xf>
    <xf numFmtId="4" fontId="39" fillId="2" borderId="0" xfId="62" applyNumberFormat="1" applyFont="1" applyFill="1" applyAlignment="1">
      <alignment horizontal="center" vertical="center"/>
    </xf>
    <xf numFmtId="0" fontId="38" fillId="2" borderId="0" xfId="62" applyFont="1" applyFill="1" applyAlignment="1">
      <alignment horizontal="center" vertical="center"/>
    </xf>
    <xf numFmtId="165" fontId="38" fillId="2" borderId="0" xfId="62" applyNumberFormat="1" applyFont="1" applyFill="1" applyAlignment="1">
      <alignment vertical="center"/>
    </xf>
    <xf numFmtId="165" fontId="38" fillId="2" borderId="0" xfId="62" applyNumberFormat="1" applyFont="1" applyFill="1" applyAlignment="1">
      <alignment horizontal="right" vertical="center"/>
    </xf>
    <xf numFmtId="0" fontId="39" fillId="2" borderId="5" xfId="62" applyFont="1" applyFill="1" applyBorder="1" applyAlignment="1">
      <alignment vertical="center" wrapText="1"/>
    </xf>
    <xf numFmtId="0" fontId="38" fillId="2" borderId="5" xfId="62" applyFont="1" applyFill="1" applyBorder="1" applyAlignment="1">
      <alignment horizontal="center" vertical="center"/>
    </xf>
    <xf numFmtId="0" fontId="38" fillId="2" borderId="5" xfId="62" applyFont="1" applyFill="1" applyBorder="1" applyAlignment="1">
      <alignment vertical="center" wrapText="1"/>
    </xf>
    <xf numFmtId="4" fontId="38" fillId="0" borderId="5" xfId="62" applyNumberFormat="1" applyFont="1" applyBorder="1" applyAlignment="1">
      <alignment horizontal="center" vertical="center"/>
    </xf>
    <xf numFmtId="0" fontId="40" fillId="3" borderId="0" xfId="62" applyFont="1" applyFill="1" applyAlignment="1">
      <alignment horizontal="center" vertical="center"/>
    </xf>
    <xf numFmtId="3" fontId="40" fillId="3" borderId="0" xfId="1" applyNumberFormat="1" applyFont="1" applyFill="1" applyBorder="1" applyAlignment="1">
      <alignment horizontal="center" vertical="center"/>
    </xf>
    <xf numFmtId="10" fontId="40" fillId="27" borderId="0" xfId="62" applyNumberFormat="1" applyFont="1" applyFill="1" applyAlignment="1">
      <alignment horizontal="right" vertical="center"/>
    </xf>
    <xf numFmtId="0" fontId="38" fillId="26" borderId="0" xfId="0" applyFont="1" applyFill="1" applyAlignment="1">
      <alignment horizontal="center"/>
    </xf>
    <xf numFmtId="0" fontId="38" fillId="26" borderId="0" xfId="0" applyFont="1" applyFill="1"/>
    <xf numFmtId="0" fontId="43" fillId="26" borderId="0" xfId="0" applyFont="1" applyFill="1"/>
    <xf numFmtId="0" fontId="38" fillId="26" borderId="0" xfId="0" applyFont="1" applyFill="1" applyAlignment="1">
      <alignment vertical="top"/>
    </xf>
    <xf numFmtId="0" fontId="39" fillId="26" borderId="0" xfId="0" applyFont="1" applyFill="1" applyAlignment="1">
      <alignment horizontal="center"/>
    </xf>
    <xf numFmtId="44" fontId="38" fillId="26" borderId="0" xfId="81" applyFont="1" applyFill="1"/>
    <xf numFmtId="0" fontId="38" fillId="26" borderId="10" xfId="0" applyFont="1" applyFill="1" applyBorder="1" applyAlignment="1">
      <alignment horizontal="center"/>
    </xf>
    <xf numFmtId="0" fontId="38" fillId="26" borderId="10" xfId="0" applyFont="1" applyFill="1" applyBorder="1"/>
    <xf numFmtId="44" fontId="38" fillId="26" borderId="10" xfId="81" applyFont="1" applyFill="1" applyBorder="1"/>
    <xf numFmtId="0" fontId="46" fillId="26" borderId="0" xfId="0" applyFont="1" applyFill="1"/>
    <xf numFmtId="0" fontId="47" fillId="26" borderId="0" xfId="0" applyFont="1" applyFill="1"/>
    <xf numFmtId="0" fontId="48" fillId="26" borderId="0" xfId="0" applyFont="1" applyFill="1"/>
    <xf numFmtId="164" fontId="32" fillId="26" borderId="0" xfId="1" applyFont="1" applyFill="1" applyBorder="1" applyAlignment="1">
      <alignment horizontal="left" vertical="center"/>
    </xf>
    <xf numFmtId="44" fontId="32" fillId="26" borderId="0" xfId="81" applyFont="1" applyFill="1" applyBorder="1" applyAlignment="1">
      <alignment horizontal="right" vertical="center"/>
    </xf>
    <xf numFmtId="170" fontId="32" fillId="26" borderId="0" xfId="1" applyNumberFormat="1" applyFont="1" applyFill="1" applyBorder="1" applyAlignment="1">
      <alignment horizontal="left" vertical="center"/>
    </xf>
    <xf numFmtId="0" fontId="41" fillId="26" borderId="0" xfId="0" applyFont="1" applyFill="1"/>
    <xf numFmtId="0" fontId="44" fillId="26" borderId="0" xfId="0" applyFont="1" applyFill="1" applyAlignment="1">
      <alignment horizontal="center"/>
    </xf>
    <xf numFmtId="44" fontId="38" fillId="26" borderId="10" xfId="81" applyFont="1" applyFill="1" applyBorder="1" applyAlignment="1">
      <alignment horizontal="center"/>
    </xf>
    <xf numFmtId="2" fontId="38" fillId="26" borderId="0" xfId="0" applyNumberFormat="1" applyFont="1" applyFill="1" applyAlignment="1">
      <alignment horizontal="center"/>
    </xf>
    <xf numFmtId="44" fontId="39" fillId="27" borderId="10" xfId="0" applyNumberFormat="1" applyFont="1" applyFill="1" applyBorder="1"/>
    <xf numFmtId="44" fontId="39" fillId="27" borderId="10" xfId="81" applyFont="1" applyFill="1" applyBorder="1"/>
    <xf numFmtId="0" fontId="39" fillId="26" borderId="0" xfId="0" applyFont="1" applyFill="1"/>
    <xf numFmtId="0" fontId="39" fillId="26" borderId="0" xfId="0" applyFont="1" applyFill="1" applyAlignment="1">
      <alignment vertical="center"/>
    </xf>
    <xf numFmtId="0" fontId="39" fillId="26" borderId="0" xfId="0" applyFont="1" applyFill="1" applyAlignment="1">
      <alignment horizontal="center" vertical="center"/>
    </xf>
    <xf numFmtId="0" fontId="38" fillId="26" borderId="0" xfId="0" applyFont="1" applyFill="1" applyAlignment="1">
      <alignment vertical="center"/>
    </xf>
    <xf numFmtId="0" fontId="45" fillId="26" borderId="0" xfId="0" applyFont="1" applyFill="1" applyAlignment="1">
      <alignment horizontal="center"/>
    </xf>
    <xf numFmtId="0" fontId="41" fillId="26" borderId="10" xfId="0" applyFont="1" applyFill="1" applyBorder="1" applyAlignment="1">
      <alignment horizontal="center"/>
    </xf>
    <xf numFmtId="44" fontId="41" fillId="26" borderId="10" xfId="81" applyFont="1" applyFill="1" applyBorder="1" applyAlignment="1">
      <alignment horizontal="center"/>
    </xf>
    <xf numFmtId="10" fontId="41" fillId="26" borderId="10" xfId="0" applyNumberFormat="1" applyFont="1" applyFill="1" applyBorder="1" applyAlignment="1">
      <alignment horizontal="center"/>
    </xf>
    <xf numFmtId="44" fontId="46" fillId="26" borderId="10" xfId="81" applyFont="1" applyFill="1" applyBorder="1"/>
    <xf numFmtId="2" fontId="46" fillId="26" borderId="0" xfId="81" applyNumberFormat="1" applyFont="1" applyFill="1" applyAlignment="1">
      <alignment horizontal="center"/>
    </xf>
    <xf numFmtId="44" fontId="41" fillId="26" borderId="0" xfId="81" applyFont="1" applyFill="1"/>
    <xf numFmtId="0" fontId="41" fillId="26" borderId="10" xfId="0" applyFont="1" applyFill="1" applyBorder="1" applyAlignment="1">
      <alignment horizontal="center" vertical="center"/>
    </xf>
    <xf numFmtId="44" fontId="41" fillId="26" borderId="10" xfId="81" applyFont="1" applyFill="1" applyBorder="1" applyAlignment="1">
      <alignment horizontal="center" vertical="center"/>
    </xf>
    <xf numFmtId="10" fontId="41" fillId="26" borderId="10" xfId="0" applyNumberFormat="1" applyFont="1" applyFill="1" applyBorder="1" applyAlignment="1">
      <alignment horizontal="center" vertical="center"/>
    </xf>
    <xf numFmtId="44" fontId="46" fillId="26" borderId="10" xfId="81" applyFont="1" applyFill="1" applyBorder="1" applyAlignment="1">
      <alignment vertical="center"/>
    </xf>
    <xf numFmtId="0" fontId="41" fillId="26" borderId="0" xfId="0" applyFont="1" applyFill="1" applyAlignment="1">
      <alignment vertical="center"/>
    </xf>
    <xf numFmtId="0" fontId="38" fillId="26" borderId="10" xfId="0" quotePrefix="1" applyFont="1" applyFill="1" applyBorder="1" applyAlignment="1">
      <alignment horizontal="center"/>
    </xf>
    <xf numFmtId="0" fontId="38" fillId="26" borderId="11" xfId="0" applyFont="1" applyFill="1" applyBorder="1" applyAlignment="1">
      <alignment horizontal="left"/>
    </xf>
    <xf numFmtId="44" fontId="38" fillId="26" borderId="0" xfId="81" applyFont="1" applyFill="1" applyBorder="1" applyAlignment="1">
      <alignment horizontal="center"/>
    </xf>
    <xf numFmtId="44" fontId="38" fillId="26" borderId="0" xfId="81" applyFont="1" applyFill="1" applyBorder="1"/>
    <xf numFmtId="0" fontId="38" fillId="26" borderId="0" xfId="0" quotePrefix="1" applyFont="1" applyFill="1"/>
    <xf numFmtId="0" fontId="38" fillId="26" borderId="0" xfId="81" applyNumberFormat="1" applyFont="1" applyFill="1" applyBorder="1" applyAlignment="1">
      <alignment horizontal="center" vertical="center"/>
    </xf>
    <xf numFmtId="2" fontId="38" fillId="26" borderId="0" xfId="81" applyNumberFormat="1" applyFont="1" applyFill="1" applyBorder="1" applyAlignment="1">
      <alignment horizontal="center" vertical="center"/>
    </xf>
    <xf numFmtId="2" fontId="38" fillId="26" borderId="0" xfId="0" applyNumberFormat="1" applyFont="1" applyFill="1" applyAlignment="1">
      <alignment horizontal="center" vertical="center"/>
    </xf>
    <xf numFmtId="0" fontId="38" fillId="26" borderId="0" xfId="0" applyFont="1" applyFill="1" applyAlignment="1">
      <alignment horizontal="center" vertical="center"/>
    </xf>
    <xf numFmtId="4" fontId="38" fillId="26" borderId="0" xfId="0" applyNumberFormat="1" applyFont="1" applyFill="1" applyAlignment="1">
      <alignment horizontal="center" vertical="center"/>
    </xf>
    <xf numFmtId="171" fontId="38" fillId="26" borderId="0" xfId="81" applyNumberFormat="1" applyFont="1" applyFill="1" applyBorder="1" applyAlignment="1">
      <alignment horizontal="center"/>
    </xf>
    <xf numFmtId="0" fontId="32" fillId="26" borderId="0" xfId="0" applyFont="1" applyFill="1" applyAlignment="1">
      <alignment vertical="center"/>
    </xf>
    <xf numFmtId="4" fontId="38" fillId="26" borderId="0" xfId="0" applyNumberFormat="1" applyFont="1" applyFill="1" applyAlignment="1">
      <alignment horizontal="center"/>
    </xf>
    <xf numFmtId="171" fontId="38" fillId="26" borderId="0" xfId="0" applyNumberFormat="1" applyFont="1" applyFill="1" applyAlignment="1">
      <alignment horizontal="center"/>
    </xf>
    <xf numFmtId="0" fontId="38" fillId="26" borderId="0" xfId="0" applyFont="1" applyFill="1" applyAlignment="1">
      <alignment horizontal="left"/>
    </xf>
    <xf numFmtId="0" fontId="41" fillId="26" borderId="10" xfId="0" applyFont="1" applyFill="1" applyBorder="1"/>
    <xf numFmtId="0" fontId="41" fillId="26" borderId="10" xfId="0" applyFont="1" applyFill="1" applyBorder="1" applyAlignment="1">
      <alignment vertical="center" wrapText="1"/>
    </xf>
    <xf numFmtId="0" fontId="42" fillId="27" borderId="10" xfId="0" applyFont="1" applyFill="1" applyBorder="1" applyAlignment="1">
      <alignment horizontal="center"/>
    </xf>
    <xf numFmtId="0" fontId="42" fillId="27" borderId="10" xfId="0" applyFont="1" applyFill="1" applyBorder="1"/>
    <xf numFmtId="0" fontId="34" fillId="26" borderId="0" xfId="0" applyFont="1" applyFill="1"/>
    <xf numFmtId="0" fontId="34" fillId="26" borderId="10" xfId="0" applyFont="1" applyFill="1" applyBorder="1" applyAlignment="1">
      <alignment horizontal="center" vertical="center"/>
    </xf>
    <xf numFmtId="0" fontId="34" fillId="26" borderId="10" xfId="0" applyFont="1" applyFill="1" applyBorder="1" applyAlignment="1">
      <alignment vertical="center" wrapText="1"/>
    </xf>
    <xf numFmtId="44" fontId="34" fillId="26" borderId="10" xfId="81" applyFont="1" applyFill="1" applyBorder="1" applyAlignment="1">
      <alignment horizontal="center" vertical="center"/>
    </xf>
    <xf numFmtId="0" fontId="34" fillId="26" borderId="0" xfId="0" applyFont="1" applyFill="1" applyAlignment="1">
      <alignment vertical="center"/>
    </xf>
    <xf numFmtId="171" fontId="34" fillId="26" borderId="10" xfId="0" applyNumberFormat="1" applyFont="1" applyFill="1" applyBorder="1" applyAlignment="1">
      <alignment horizontal="center" vertical="center"/>
    </xf>
    <xf numFmtId="0" fontId="34" fillId="26" borderId="10" xfId="0" applyFont="1" applyFill="1" applyBorder="1" applyAlignment="1">
      <alignment vertical="center"/>
    </xf>
    <xf numFmtId="44" fontId="34" fillId="26" borderId="10" xfId="81" applyFont="1" applyFill="1" applyBorder="1" applyAlignment="1">
      <alignment vertical="center"/>
    </xf>
    <xf numFmtId="44" fontId="32" fillId="29" borderId="10" xfId="81" applyFont="1" applyFill="1" applyBorder="1" applyAlignment="1">
      <alignment vertical="center"/>
    </xf>
    <xf numFmtId="44" fontId="32" fillId="29" borderId="10" xfId="0" applyNumberFormat="1" applyFont="1" applyFill="1" applyBorder="1"/>
    <xf numFmtId="44" fontId="42" fillId="29" borderId="10" xfId="0" applyNumberFormat="1" applyFont="1" applyFill="1" applyBorder="1"/>
    <xf numFmtId="44" fontId="42" fillId="29" borderId="10" xfId="0" applyNumberFormat="1" applyFont="1" applyFill="1" applyBorder="1" applyAlignment="1">
      <alignment horizontal="center"/>
    </xf>
    <xf numFmtId="4" fontId="33" fillId="26" borderId="0" xfId="0" applyNumberFormat="1" applyFont="1" applyFill="1" applyAlignment="1">
      <alignment horizontal="center" vertical="center"/>
    </xf>
    <xf numFmtId="44" fontId="33" fillId="0" borderId="0" xfId="81" applyFont="1" applyAlignment="1">
      <alignment horizontal="center" vertical="center"/>
    </xf>
    <xf numFmtId="44" fontId="32" fillId="0" borderId="0" xfId="81" applyFont="1" applyAlignment="1">
      <alignment horizontal="center" vertical="center"/>
    </xf>
    <xf numFmtId="44" fontId="34" fillId="0" borderId="0" xfId="81" applyFont="1" applyAlignment="1">
      <alignment horizontal="center" vertical="center"/>
    </xf>
    <xf numFmtId="4" fontId="34" fillId="26" borderId="0" xfId="0" applyNumberFormat="1" applyFont="1" applyFill="1" applyAlignment="1">
      <alignment horizontal="center" vertical="center"/>
    </xf>
    <xf numFmtId="4" fontId="34" fillId="26" borderId="0" xfId="0" applyNumberFormat="1" applyFont="1" applyFill="1" applyAlignment="1">
      <alignment horizontal="center" vertical="center" wrapText="1"/>
    </xf>
    <xf numFmtId="44" fontId="34" fillId="26" borderId="0" xfId="81" applyFont="1" applyFill="1" applyAlignment="1">
      <alignment horizontal="center" vertical="center"/>
    </xf>
    <xf numFmtId="4" fontId="34" fillId="26" borderId="0" xfId="1" applyNumberFormat="1" applyFont="1" applyFill="1" applyAlignment="1">
      <alignment horizontal="center" vertical="center"/>
    </xf>
    <xf numFmtId="4" fontId="48" fillId="26" borderId="0" xfId="0" applyNumberFormat="1" applyFont="1" applyFill="1" applyAlignment="1">
      <alignment horizontal="center" vertical="center"/>
    </xf>
    <xf numFmtId="4" fontId="48" fillId="26" borderId="0" xfId="0" applyNumberFormat="1" applyFont="1" applyFill="1" applyAlignment="1">
      <alignment horizontal="left" vertical="center"/>
    </xf>
    <xf numFmtId="44" fontId="41" fillId="26" borderId="10" xfId="0" applyNumberFormat="1" applyFont="1" applyFill="1" applyBorder="1"/>
    <xf numFmtId="44" fontId="41" fillId="26" borderId="10" xfId="81" applyFont="1" applyFill="1" applyBorder="1" applyAlignment="1"/>
    <xf numFmtId="0" fontId="41" fillId="26" borderId="10" xfId="0" applyFont="1" applyFill="1" applyBorder="1" applyAlignment="1">
      <alignment horizontal="left" vertical="center"/>
    </xf>
    <xf numFmtId="2" fontId="41" fillId="26" borderId="10" xfId="0" applyNumberFormat="1" applyFont="1" applyFill="1" applyBorder="1" applyAlignment="1">
      <alignment horizontal="center" vertical="center"/>
    </xf>
    <xf numFmtId="2" fontId="41" fillId="26" borderId="10" xfId="0" applyNumberFormat="1" applyFont="1" applyFill="1" applyBorder="1" applyAlignment="1">
      <alignment horizontal="center"/>
    </xf>
    <xf numFmtId="44" fontId="41" fillId="26" borderId="10" xfId="0" applyNumberFormat="1" applyFont="1" applyFill="1" applyBorder="1" applyAlignment="1">
      <alignment horizontal="center" vertical="center"/>
    </xf>
    <xf numFmtId="0" fontId="41" fillId="26" borderId="10" xfId="0" applyFont="1" applyFill="1" applyBorder="1" applyAlignment="1">
      <alignment vertical="center"/>
    </xf>
    <xf numFmtId="44" fontId="41" fillId="26" borderId="10" xfId="81" applyFont="1" applyFill="1" applyBorder="1" applyAlignment="1">
      <alignment vertical="center"/>
    </xf>
    <xf numFmtId="0" fontId="42" fillId="27" borderId="10" xfId="0" applyFont="1" applyFill="1" applyBorder="1" applyAlignment="1">
      <alignment horizontal="center" vertical="center"/>
    </xf>
    <xf numFmtId="44" fontId="42" fillId="29" borderId="10" xfId="81" applyFont="1" applyFill="1" applyBorder="1" applyAlignment="1">
      <alignment vertical="center"/>
    </xf>
    <xf numFmtId="44" fontId="41" fillId="29" borderId="10" xfId="81" applyFont="1" applyFill="1" applyBorder="1" applyAlignment="1">
      <alignment vertical="center"/>
    </xf>
    <xf numFmtId="44" fontId="42" fillId="29" borderId="10" xfId="81" applyFont="1" applyFill="1" applyBorder="1" applyAlignment="1">
      <alignment horizontal="center" vertical="center"/>
    </xf>
    <xf numFmtId="0" fontId="42" fillId="27" borderId="11" xfId="0" applyFont="1" applyFill="1" applyBorder="1" applyAlignment="1">
      <alignment horizontal="left"/>
    </xf>
    <xf numFmtId="44" fontId="42" fillId="27" borderId="10" xfId="0" applyNumberFormat="1" applyFont="1" applyFill="1" applyBorder="1" applyAlignment="1">
      <alignment horizontal="center"/>
    </xf>
    <xf numFmtId="0" fontId="42" fillId="27" borderId="10" xfId="0" applyFont="1" applyFill="1" applyBorder="1" applyAlignment="1">
      <alignment horizontal="left" vertical="center"/>
    </xf>
    <xf numFmtId="0" fontId="42" fillId="27" borderId="10" xfId="0" applyFont="1" applyFill="1" applyBorder="1" applyAlignment="1">
      <alignment vertical="center"/>
    </xf>
    <xf numFmtId="171" fontId="42" fillId="27" borderId="10" xfId="0" applyNumberFormat="1" applyFont="1" applyFill="1" applyBorder="1" applyAlignment="1">
      <alignment horizontal="center" vertical="center"/>
    </xf>
    <xf numFmtId="44" fontId="42" fillId="27" borderId="10" xfId="81" applyFont="1" applyFill="1" applyBorder="1" applyAlignment="1">
      <alignment horizontal="center" vertical="center"/>
    </xf>
    <xf numFmtId="44" fontId="42" fillId="27" borderId="10" xfId="81" applyFont="1" applyFill="1" applyBorder="1" applyAlignment="1">
      <alignment vertical="center"/>
    </xf>
    <xf numFmtId="44" fontId="42" fillId="29" borderId="11" xfId="0" applyNumberFormat="1" applyFont="1" applyFill="1" applyBorder="1" applyAlignment="1">
      <alignment vertical="center"/>
    </xf>
    <xf numFmtId="44" fontId="42" fillId="29" borderId="10" xfId="0" applyNumberFormat="1" applyFont="1" applyFill="1" applyBorder="1" applyAlignment="1">
      <alignment vertical="center"/>
    </xf>
    <xf numFmtId="0" fontId="42" fillId="27" borderId="11" xfId="0" applyFont="1" applyFill="1" applyBorder="1" applyAlignment="1">
      <alignment horizontal="center" vertical="center"/>
    </xf>
    <xf numFmtId="0" fontId="42" fillId="27" borderId="10" xfId="0" applyFont="1" applyFill="1" applyBorder="1" applyAlignment="1">
      <alignment horizontal="center" vertical="center" wrapText="1"/>
    </xf>
    <xf numFmtId="0" fontId="41" fillId="27" borderId="0" xfId="0" applyFont="1" applyFill="1"/>
    <xf numFmtId="0" fontId="41" fillId="26" borderId="10" xfId="0" applyFont="1" applyFill="1" applyBorder="1" applyAlignment="1">
      <alignment horizontal="left" vertical="center" wrapText="1"/>
    </xf>
    <xf numFmtId="44" fontId="41" fillId="26" borderId="10" xfId="81" applyFont="1" applyFill="1" applyBorder="1" applyAlignment="1">
      <alignment horizontal="center" vertical="center" wrapText="1"/>
    </xf>
    <xf numFmtId="44" fontId="41" fillId="26" borderId="11" xfId="81" applyFont="1" applyFill="1" applyBorder="1" applyAlignment="1">
      <alignment horizontal="center" vertical="center"/>
    </xf>
    <xf numFmtId="0" fontId="34" fillId="26" borderId="10" xfId="0" applyFont="1" applyFill="1" applyBorder="1" applyAlignment="1">
      <alignment horizontal="center" vertical="center" wrapText="1"/>
    </xf>
    <xf numFmtId="44" fontId="34" fillId="26" borderId="10" xfId="81" applyFont="1" applyFill="1" applyBorder="1" applyAlignment="1">
      <alignment horizontal="center" vertical="center" wrapText="1"/>
    </xf>
    <xf numFmtId="44" fontId="41" fillId="29" borderId="10" xfId="81" applyFont="1" applyFill="1" applyBorder="1" applyAlignment="1">
      <alignment horizontal="center" vertical="center"/>
    </xf>
    <xf numFmtId="10" fontId="42" fillId="27" borderId="10" xfId="82" applyNumberFormat="1" applyFont="1" applyFill="1" applyBorder="1" applyAlignment="1"/>
    <xf numFmtId="171" fontId="34" fillId="0" borderId="10" xfId="0" applyNumberFormat="1" applyFont="1" applyBorder="1" applyAlignment="1">
      <alignment horizontal="center" vertical="center"/>
    </xf>
    <xf numFmtId="44" fontId="34" fillId="0" borderId="10" xfId="81" applyFont="1" applyFill="1" applyBorder="1" applyAlignment="1">
      <alignment vertical="center"/>
    </xf>
    <xf numFmtId="0" fontId="41" fillId="26" borderId="0" xfId="0" applyFont="1" applyFill="1" applyAlignment="1">
      <alignment horizontal="center"/>
    </xf>
    <xf numFmtId="0" fontId="42" fillId="27" borderId="10" xfId="0" applyFont="1" applyFill="1" applyBorder="1" applyAlignment="1">
      <alignment horizontal="left"/>
    </xf>
    <xf numFmtId="44" fontId="42" fillId="27" borderId="10" xfId="0" applyNumberFormat="1" applyFont="1" applyFill="1" applyBorder="1"/>
    <xf numFmtId="0" fontId="34" fillId="26" borderId="10" xfId="81" applyNumberFormat="1" applyFont="1" applyFill="1" applyBorder="1" applyAlignment="1">
      <alignment horizontal="left" vertical="center"/>
    </xf>
    <xf numFmtId="0" fontId="34" fillId="0" borderId="10" xfId="81" applyNumberFormat="1" applyFont="1" applyFill="1" applyBorder="1" applyAlignment="1">
      <alignment horizontal="left" vertical="center"/>
    </xf>
    <xf numFmtId="0" fontId="34" fillId="0" borderId="10" xfId="0" applyFont="1" applyBorder="1" applyAlignment="1">
      <alignment horizontal="left" vertical="center"/>
    </xf>
    <xf numFmtId="2" fontId="34" fillId="0" borderId="10" xfId="81" applyNumberFormat="1" applyFont="1" applyFill="1" applyBorder="1" applyAlignment="1">
      <alignment vertical="center"/>
    </xf>
    <xf numFmtId="2" fontId="34" fillId="0" borderId="10" xfId="0" applyNumberFormat="1" applyFont="1" applyBorder="1" applyAlignment="1">
      <alignment vertical="center"/>
    </xf>
    <xf numFmtId="0" fontId="34" fillId="0" borderId="10" xfId="0" applyFont="1" applyBorder="1" applyAlignment="1">
      <alignment horizontal="center"/>
    </xf>
    <xf numFmtId="0" fontId="34" fillId="0" borderId="10" xfId="0" applyFont="1" applyBorder="1" applyAlignment="1">
      <alignment horizontal="left"/>
    </xf>
    <xf numFmtId="44" fontId="34" fillId="0" borderId="10" xfId="0" applyNumberFormat="1" applyFont="1" applyBorder="1"/>
    <xf numFmtId="0" fontId="38" fillId="28" borderId="0" xfId="0" applyFont="1" applyFill="1"/>
    <xf numFmtId="0" fontId="32" fillId="30" borderId="10" xfId="0" applyFont="1" applyFill="1" applyBorder="1" applyAlignment="1">
      <alignment horizontal="center" vertical="center"/>
    </xf>
    <xf numFmtId="44" fontId="32" fillId="30" borderId="10" xfId="0" applyNumberFormat="1" applyFont="1" applyFill="1" applyBorder="1" applyAlignment="1">
      <alignment horizontal="center" vertical="center"/>
    </xf>
    <xf numFmtId="0" fontId="32" fillId="30" borderId="10" xfId="0" applyFont="1" applyFill="1" applyBorder="1" applyAlignment="1">
      <alignment horizontal="center"/>
    </xf>
    <xf numFmtId="44" fontId="32" fillId="30" borderId="10" xfId="0" applyNumberFormat="1" applyFont="1" applyFill="1" applyBorder="1" applyAlignment="1">
      <alignment horizontal="center"/>
    </xf>
    <xf numFmtId="0" fontId="34" fillId="26" borderId="10" xfId="0" applyFont="1" applyFill="1" applyBorder="1" applyAlignment="1">
      <alignment horizontal="left" vertical="center"/>
    </xf>
    <xf numFmtId="44" fontId="34" fillId="26" borderId="10" xfId="0" applyNumberFormat="1" applyFont="1" applyFill="1" applyBorder="1" applyAlignment="1">
      <alignment horizontal="center" vertical="center"/>
    </xf>
    <xf numFmtId="0" fontId="38" fillId="26" borderId="10" xfId="0" applyFont="1" applyFill="1" applyBorder="1" applyAlignment="1">
      <alignment horizontal="center" vertical="center"/>
    </xf>
    <xf numFmtId="0" fontId="38" fillId="26" borderId="10" xfId="0" applyFont="1" applyFill="1" applyBorder="1" applyAlignment="1">
      <alignment vertical="center" wrapText="1"/>
    </xf>
    <xf numFmtId="44" fontId="38" fillId="26" borderId="10" xfId="81" applyFont="1" applyFill="1" applyBorder="1" applyAlignment="1">
      <alignment horizontal="center" vertical="center"/>
    </xf>
    <xf numFmtId="44" fontId="38" fillId="26" borderId="0" xfId="0" applyNumberFormat="1" applyFont="1" applyFill="1"/>
    <xf numFmtId="164" fontId="32" fillId="26" borderId="0" xfId="1" applyFont="1" applyFill="1" applyBorder="1" applyAlignment="1">
      <alignment horizontal="right" vertical="center"/>
    </xf>
    <xf numFmtId="2" fontId="32" fillId="26" borderId="0" xfId="82" applyNumberFormat="1" applyFont="1" applyFill="1" applyBorder="1" applyAlignment="1">
      <alignment horizontal="left" vertical="center"/>
    </xf>
    <xf numFmtId="0" fontId="34" fillId="0" borderId="10" xfId="0" quotePrefix="1" applyFont="1" applyBorder="1" applyAlignment="1">
      <alignment horizontal="center" vertical="center"/>
    </xf>
    <xf numFmtId="44" fontId="34" fillId="0" borderId="0" xfId="81" applyFont="1" applyBorder="1" applyAlignment="1">
      <alignment horizontal="center" vertical="center"/>
    </xf>
    <xf numFmtId="0" fontId="34" fillId="26" borderId="0" xfId="0" applyFont="1" applyFill="1" applyAlignment="1">
      <alignment horizontal="left" vertical="center"/>
    </xf>
    <xf numFmtId="0" fontId="34" fillId="26" borderId="0" xfId="0" applyFont="1" applyFill="1" applyAlignment="1">
      <alignment wrapText="1"/>
    </xf>
    <xf numFmtId="0" fontId="34" fillId="26" borderId="2" xfId="0" applyFont="1" applyFill="1" applyBorder="1" applyAlignment="1">
      <alignment horizontal="center" vertical="center"/>
    </xf>
    <xf numFmtId="4" fontId="34" fillId="26" borderId="3" xfId="0" applyNumberFormat="1" applyFont="1" applyFill="1" applyBorder="1" applyAlignment="1">
      <alignment horizontal="center" vertical="center"/>
    </xf>
    <xf numFmtId="0" fontId="34" fillId="28" borderId="7" xfId="0" applyFont="1" applyFill="1" applyBorder="1" applyAlignment="1">
      <alignment horizontal="center" vertical="center"/>
    </xf>
    <xf numFmtId="0" fontId="32" fillId="28" borderId="8" xfId="0" applyFont="1" applyFill="1" applyBorder="1" applyAlignment="1">
      <alignment horizontal="left" vertical="center"/>
    </xf>
    <xf numFmtId="0" fontId="34" fillId="28" borderId="8" xfId="0" applyFont="1" applyFill="1" applyBorder="1" applyAlignment="1">
      <alignment wrapText="1"/>
    </xf>
    <xf numFmtId="4" fontId="32" fillId="28" borderId="11" xfId="0" applyNumberFormat="1" applyFont="1" applyFill="1" applyBorder="1" applyAlignment="1">
      <alignment horizontal="center" vertical="center"/>
    </xf>
    <xf numFmtId="4" fontId="32" fillId="28" borderId="8" xfId="0" applyNumberFormat="1" applyFont="1" applyFill="1" applyBorder="1" applyAlignment="1">
      <alignment horizontal="center" vertical="center"/>
    </xf>
    <xf numFmtId="4" fontId="34" fillId="26" borderId="0" xfId="0" applyNumberFormat="1" applyFont="1" applyFill="1" applyAlignment="1">
      <alignment wrapText="1"/>
    </xf>
    <xf numFmtId="4" fontId="42" fillId="0" borderId="0" xfId="0" applyNumberFormat="1" applyFont="1" applyAlignment="1">
      <alignment horizontal="center" vertical="center"/>
    </xf>
    <xf numFmtId="44" fontId="35" fillId="0" borderId="0" xfId="81" applyFont="1" applyAlignment="1">
      <alignment horizontal="center" vertical="center"/>
    </xf>
    <xf numFmtId="44" fontId="43" fillId="26" borderId="0" xfId="0" applyNumberFormat="1" applyFont="1" applyFill="1"/>
    <xf numFmtId="0" fontId="37" fillId="26" borderId="0" xfId="0" applyFont="1" applyFill="1"/>
    <xf numFmtId="0" fontId="52" fillId="26" borderId="0" xfId="0" applyFont="1" applyFill="1"/>
    <xf numFmtId="2" fontId="38" fillId="26" borderId="0" xfId="0" applyNumberFormat="1" applyFont="1" applyFill="1"/>
    <xf numFmtId="0" fontId="34" fillId="0" borderId="10" xfId="0" applyFont="1" applyBorder="1" applyAlignment="1">
      <alignment vertical="center" wrapText="1"/>
    </xf>
    <xf numFmtId="0" fontId="39" fillId="2" borderId="4" xfId="62" applyFont="1" applyFill="1" applyBorder="1" applyAlignment="1">
      <alignment vertical="center"/>
    </xf>
    <xf numFmtId="4" fontId="34" fillId="26" borderId="0" xfId="0" applyNumberFormat="1" applyFont="1" applyFill="1" applyAlignment="1">
      <alignment horizontal="right" vertical="center"/>
    </xf>
    <xf numFmtId="0" fontId="39" fillId="26" borderId="0" xfId="0" applyFont="1" applyFill="1" applyAlignment="1">
      <alignment horizontal="left"/>
    </xf>
    <xf numFmtId="0" fontId="43" fillId="26" borderId="0" xfId="0" applyFont="1" applyFill="1" applyAlignment="1">
      <alignment horizontal="left"/>
    </xf>
    <xf numFmtId="0" fontId="38" fillId="26" borderId="0" xfId="0" applyFont="1" applyFill="1" applyAlignment="1">
      <alignment horizontal="left" vertical="top"/>
    </xf>
    <xf numFmtId="0" fontId="54" fillId="28" borderId="20" xfId="62" applyFont="1" applyFill="1" applyBorder="1" applyAlignment="1">
      <alignment horizontal="center" vertical="center"/>
    </xf>
    <xf numFmtId="10" fontId="53" fillId="28" borderId="0" xfId="62" applyNumberFormat="1" applyFont="1" applyFill="1" applyAlignment="1">
      <alignment horizontal="right" vertical="center"/>
    </xf>
    <xf numFmtId="4" fontId="34" fillId="0" borderId="0" xfId="62" applyNumberFormat="1" applyFont="1" applyAlignment="1">
      <alignment horizontal="center" vertical="center"/>
    </xf>
    <xf numFmtId="10" fontId="32" fillId="28" borderId="20" xfId="62" applyNumberFormat="1" applyFont="1" applyFill="1" applyBorder="1" applyAlignment="1">
      <alignment horizontal="right" vertical="center"/>
    </xf>
    <xf numFmtId="0" fontId="37" fillId="2" borderId="0" xfId="62" applyFont="1" applyFill="1" applyAlignment="1">
      <alignment vertical="center"/>
    </xf>
    <xf numFmtId="0" fontId="39" fillId="26" borderId="2" xfId="0" applyFont="1" applyFill="1" applyBorder="1" applyAlignment="1">
      <alignment horizontal="center"/>
    </xf>
    <xf numFmtId="0" fontId="48" fillId="26" borderId="0" xfId="0" applyFont="1" applyFill="1" applyAlignment="1">
      <alignment vertical="center"/>
    </xf>
    <xf numFmtId="0" fontId="48" fillId="26" borderId="0" xfId="0" applyFont="1" applyFill="1" applyAlignment="1">
      <alignment vertical="top"/>
    </xf>
    <xf numFmtId="0" fontId="37" fillId="26" borderId="0" xfId="0" applyFont="1" applyFill="1" applyAlignment="1">
      <alignment horizontal="center" wrapText="1"/>
    </xf>
    <xf numFmtId="44" fontId="39" fillId="26" borderId="0" xfId="0" applyNumberFormat="1" applyFont="1" applyFill="1"/>
    <xf numFmtId="44" fontId="39" fillId="26" borderId="0" xfId="81" applyFont="1" applyFill="1" applyBorder="1"/>
    <xf numFmtId="44" fontId="43" fillId="26" borderId="10" xfId="81" applyFont="1" applyFill="1" applyBorder="1"/>
    <xf numFmtId="2" fontId="43" fillId="26" borderId="10" xfId="81" applyNumberFormat="1" applyFont="1" applyFill="1" applyBorder="1" applyAlignment="1">
      <alignment horizontal="center"/>
    </xf>
    <xf numFmtId="2" fontId="38" fillId="26" borderId="10" xfId="0" applyNumberFormat="1" applyFont="1" applyFill="1" applyBorder="1" applyAlignment="1">
      <alignment horizontal="center"/>
    </xf>
    <xf numFmtId="2" fontId="43" fillId="26" borderId="10" xfId="0" applyNumberFormat="1" applyFont="1" applyFill="1" applyBorder="1"/>
    <xf numFmtId="44" fontId="43" fillId="26" borderId="10" xfId="81" applyFont="1" applyFill="1" applyBorder="1" applyAlignment="1">
      <alignment horizontal="center"/>
    </xf>
    <xf numFmtId="44" fontId="55" fillId="26" borderId="10" xfId="83" applyNumberFormat="1" applyFill="1" applyBorder="1"/>
    <xf numFmtId="14" fontId="43" fillId="26" borderId="10" xfId="0" applyNumberFormat="1" applyFont="1" applyFill="1" applyBorder="1" applyAlignment="1">
      <alignment horizontal="center"/>
    </xf>
    <xf numFmtId="0" fontId="55" fillId="26" borderId="10" xfId="83" applyFill="1" applyBorder="1"/>
    <xf numFmtId="14" fontId="38" fillId="26" borderId="10" xfId="0" applyNumberFormat="1" applyFont="1" applyFill="1" applyBorder="1" applyAlignment="1">
      <alignment horizontal="center"/>
    </xf>
    <xf numFmtId="14" fontId="38" fillId="26" borderId="10" xfId="0" applyNumberFormat="1" applyFont="1" applyFill="1" applyBorder="1"/>
    <xf numFmtId="0" fontId="43" fillId="26" borderId="0" xfId="0" applyFont="1" applyFill="1" applyAlignment="1">
      <alignment horizontal="center"/>
    </xf>
    <xf numFmtId="0" fontId="55" fillId="26" borderId="7" xfId="83" applyFill="1" applyBorder="1" applyAlignment="1"/>
    <xf numFmtId="0" fontId="55" fillId="26" borderId="8" xfId="83" applyFill="1" applyBorder="1" applyAlignment="1"/>
    <xf numFmtId="0" fontId="55" fillId="26" borderId="11" xfId="83" applyFill="1" applyBorder="1" applyAlignment="1"/>
    <xf numFmtId="0" fontId="55" fillId="26" borderId="11" xfId="83" applyFill="1" applyBorder="1" applyAlignment="1">
      <alignment horizontal="left"/>
    </xf>
    <xf numFmtId="0" fontId="38" fillId="26" borderId="11" xfId="0" quotePrefix="1" applyFont="1" applyFill="1" applyBorder="1" applyAlignment="1">
      <alignment horizontal="center"/>
    </xf>
    <xf numFmtId="0" fontId="52" fillId="26" borderId="0" xfId="0" applyFont="1" applyFill="1" applyAlignment="1">
      <alignment horizontal="left"/>
    </xf>
    <xf numFmtId="0" fontId="38" fillId="26" borderId="11" xfId="0" applyFont="1" applyFill="1" applyBorder="1" applyAlignment="1">
      <alignment horizontal="center"/>
    </xf>
    <xf numFmtId="0" fontId="34" fillId="26" borderId="0" xfId="0" quotePrefix="1" applyFont="1" applyFill="1"/>
    <xf numFmtId="0" fontId="39" fillId="26" borderId="0" xfId="0" applyFont="1" applyFill="1" applyAlignment="1">
      <alignment horizontal="center" vertical="top"/>
    </xf>
    <xf numFmtId="2" fontId="39" fillId="26" borderId="0" xfId="81" applyNumberFormat="1" applyFont="1" applyFill="1" applyBorder="1" applyAlignment="1">
      <alignment horizontal="center" vertical="center"/>
    </xf>
    <xf numFmtId="0" fontId="39" fillId="26" borderId="0" xfId="81" applyNumberFormat="1" applyFont="1" applyFill="1" applyBorder="1" applyAlignment="1">
      <alignment horizontal="center" vertical="center"/>
    </xf>
    <xf numFmtId="2" fontId="39" fillId="26" borderId="0" xfId="81" applyNumberFormat="1" applyFont="1" applyFill="1" applyBorder="1" applyAlignment="1">
      <alignment vertical="center"/>
    </xf>
    <xf numFmtId="2" fontId="39" fillId="26" borderId="0" xfId="0" applyNumberFormat="1" applyFont="1" applyFill="1" applyAlignment="1">
      <alignment horizontal="center"/>
    </xf>
    <xf numFmtId="2" fontId="39" fillId="26" borderId="0" xfId="0" applyNumberFormat="1" applyFont="1" applyFill="1" applyAlignment="1">
      <alignment horizontal="center" vertical="top"/>
    </xf>
    <xf numFmtId="0" fontId="37" fillId="26" borderId="0" xfId="0" applyFont="1" applyFill="1" applyAlignment="1">
      <alignment horizontal="left"/>
    </xf>
    <xf numFmtId="0" fontId="39" fillId="26" borderId="0" xfId="0" applyFont="1" applyFill="1" applyAlignment="1">
      <alignment horizontal="left" vertical="center"/>
    </xf>
    <xf numFmtId="44" fontId="38" fillId="26" borderId="0" xfId="81" applyFont="1" applyFill="1" applyBorder="1" applyAlignment="1">
      <alignment horizontal="left"/>
    </xf>
    <xf numFmtId="4" fontId="32" fillId="26" borderId="0" xfId="0" applyNumberFormat="1" applyFont="1" applyFill="1" applyAlignment="1">
      <alignment vertical="center"/>
    </xf>
    <xf numFmtId="4" fontId="34" fillId="28" borderId="8" xfId="0" applyNumberFormat="1" applyFont="1" applyFill="1" applyBorder="1" applyAlignment="1">
      <alignment horizontal="center" vertical="center"/>
    </xf>
    <xf numFmtId="4" fontId="32" fillId="26" borderId="0" xfId="1" applyNumberFormat="1" applyFont="1" applyFill="1" applyBorder="1" applyAlignment="1">
      <alignment horizontal="right" vertical="center"/>
    </xf>
    <xf numFmtId="44" fontId="35" fillId="26" borderId="0" xfId="81" applyFont="1" applyFill="1" applyBorder="1" applyAlignment="1">
      <alignment horizontal="right" vertical="center"/>
    </xf>
    <xf numFmtId="44" fontId="0" fillId="0" borderId="0" xfId="81" applyFont="1" applyAlignment="1">
      <alignment horizontal="center" vertical="center"/>
    </xf>
    <xf numFmtId="44" fontId="32" fillId="31" borderId="10" xfId="81" applyFont="1" applyFill="1" applyBorder="1" applyAlignment="1">
      <alignment horizontal="center" vertical="center"/>
    </xf>
    <xf numFmtId="164" fontId="32" fillId="31" borderId="10" xfId="1" applyFont="1" applyFill="1" applyBorder="1" applyAlignment="1">
      <alignment horizontal="center" vertical="center"/>
    </xf>
    <xf numFmtId="0" fontId="42" fillId="31" borderId="6" xfId="0" applyFont="1" applyFill="1" applyBorder="1" applyAlignment="1">
      <alignment horizontal="center" vertical="center"/>
    </xf>
    <xf numFmtId="4" fontId="42" fillId="31" borderId="6" xfId="0" applyNumberFormat="1" applyFont="1" applyFill="1" applyBorder="1" applyAlignment="1">
      <alignment horizontal="center" vertical="center"/>
    </xf>
    <xf numFmtId="0" fontId="42" fillId="31" borderId="6" xfId="0" applyFont="1" applyFill="1" applyBorder="1" applyAlignment="1">
      <alignment horizontal="center" vertical="center" wrapText="1"/>
    </xf>
    <xf numFmtId="3" fontId="39" fillId="31" borderId="10" xfId="1" quotePrefix="1" applyNumberFormat="1" applyFont="1" applyFill="1" applyBorder="1" applyAlignment="1">
      <alignment horizontal="center" vertical="center"/>
    </xf>
    <xf numFmtId="3" fontId="40" fillId="31" borderId="10" xfId="1" quotePrefix="1" applyNumberFormat="1" applyFont="1" applyFill="1" applyBorder="1" applyAlignment="1">
      <alignment horizontal="center" vertical="center"/>
    </xf>
    <xf numFmtId="0" fontId="42" fillId="31" borderId="10" xfId="0" applyFont="1" applyFill="1" applyBorder="1" applyAlignment="1">
      <alignment horizontal="center" vertical="center"/>
    </xf>
    <xf numFmtId="0" fontId="42" fillId="31" borderId="10" xfId="0" applyFont="1" applyFill="1" applyBorder="1" applyAlignment="1">
      <alignment horizontal="center" vertical="center" wrapText="1"/>
    </xf>
    <xf numFmtId="0" fontId="39" fillId="31" borderId="10" xfId="0" applyFont="1" applyFill="1" applyBorder="1" applyAlignment="1">
      <alignment horizontal="center" vertical="center"/>
    </xf>
    <xf numFmtId="0" fontId="39" fillId="31" borderId="10" xfId="0" applyFont="1" applyFill="1" applyBorder="1" applyAlignment="1">
      <alignment horizontal="center" vertical="center" wrapText="1"/>
    </xf>
    <xf numFmtId="0" fontId="39" fillId="31" borderId="10" xfId="0" applyFont="1" applyFill="1" applyBorder="1" applyAlignment="1">
      <alignment horizontal="center"/>
    </xf>
    <xf numFmtId="0" fontId="44" fillId="32" borderId="10" xfId="0" applyFont="1" applyFill="1" applyBorder="1" applyAlignment="1">
      <alignment horizontal="center"/>
    </xf>
    <xf numFmtId="0" fontId="39" fillId="32" borderId="10" xfId="0" applyFont="1" applyFill="1" applyBorder="1" applyAlignment="1">
      <alignment horizontal="center"/>
    </xf>
    <xf numFmtId="0" fontId="42" fillId="32" borderId="10" xfId="0" applyFont="1" applyFill="1" applyBorder="1" applyAlignment="1">
      <alignment horizontal="center"/>
    </xf>
    <xf numFmtId="2" fontId="39" fillId="31" borderId="0" xfId="0" applyNumberFormat="1" applyFont="1" applyFill="1" applyAlignment="1">
      <alignment horizontal="center"/>
    </xf>
    <xf numFmtId="0" fontId="39" fillId="31" borderId="0" xfId="0" applyFont="1" applyFill="1" applyAlignment="1">
      <alignment horizontal="center"/>
    </xf>
    <xf numFmtId="44" fontId="39" fillId="31" borderId="10" xfId="81" applyFont="1" applyFill="1" applyBorder="1" applyAlignment="1">
      <alignment horizontal="center"/>
    </xf>
    <xf numFmtId="0" fontId="42" fillId="32" borderId="0" xfId="0" applyFont="1" applyFill="1" applyAlignment="1">
      <alignment vertical="top"/>
    </xf>
    <xf numFmtId="0" fontId="41" fillId="32" borderId="0" xfId="0" applyFont="1" applyFill="1" applyAlignment="1">
      <alignment vertical="top"/>
    </xf>
    <xf numFmtId="2" fontId="38" fillId="32" borderId="0" xfId="0" applyNumberFormat="1" applyFont="1" applyFill="1" applyAlignment="1">
      <alignment horizontal="center"/>
    </xf>
    <xf numFmtId="0" fontId="38" fillId="32" borderId="0" xfId="0" applyFont="1" applyFill="1" applyAlignment="1">
      <alignment horizontal="center"/>
    </xf>
    <xf numFmtId="0" fontId="39" fillId="32" borderId="0" xfId="0" quotePrefix="1" applyFont="1" applyFill="1" applyAlignment="1">
      <alignment vertical="top"/>
    </xf>
    <xf numFmtId="0" fontId="38" fillId="32" borderId="0" xfId="0" quotePrefix="1" applyFont="1" applyFill="1" applyAlignment="1">
      <alignment vertical="top" wrapText="1"/>
    </xf>
    <xf numFmtId="2" fontId="38" fillId="32" borderId="0" xfId="81" applyNumberFormat="1" applyFont="1" applyFill="1" applyBorder="1" applyAlignment="1">
      <alignment horizontal="center" vertical="center"/>
    </xf>
    <xf numFmtId="0" fontId="38" fillId="32" borderId="0" xfId="81" applyNumberFormat="1" applyFont="1" applyFill="1" applyBorder="1" applyAlignment="1">
      <alignment horizontal="center" vertical="center"/>
    </xf>
    <xf numFmtId="0" fontId="42" fillId="32" borderId="0" xfId="0" applyFont="1" applyFill="1" applyAlignment="1">
      <alignment vertical="top" wrapText="1"/>
    </xf>
    <xf numFmtId="0" fontId="39" fillId="32" borderId="0" xfId="0" quotePrefix="1" applyFont="1" applyFill="1" applyAlignment="1">
      <alignment wrapText="1"/>
    </xf>
    <xf numFmtId="0" fontId="38" fillId="32" borderId="0" xfId="0" quotePrefix="1" applyFont="1" applyFill="1" applyAlignment="1">
      <alignment wrapText="1"/>
    </xf>
    <xf numFmtId="0" fontId="39" fillId="32" borderId="0" xfId="0" quotePrefix="1" applyFont="1" applyFill="1"/>
    <xf numFmtId="0" fontId="39" fillId="32" borderId="0" xfId="0" applyFont="1" applyFill="1" applyAlignment="1">
      <alignment horizontal="center"/>
    </xf>
    <xf numFmtId="44" fontId="38" fillId="32" borderId="0" xfId="81" applyFont="1" applyFill="1" applyBorder="1" applyAlignment="1">
      <alignment horizontal="center"/>
    </xf>
    <xf numFmtId="2" fontId="38" fillId="32" borderId="0" xfId="0" applyNumberFormat="1" applyFont="1" applyFill="1"/>
    <xf numFmtId="0" fontId="39" fillId="32" borderId="0" xfId="0" applyFont="1" applyFill="1"/>
    <xf numFmtId="2" fontId="39" fillId="32" borderId="0" xfId="0" applyNumberFormat="1" applyFont="1" applyFill="1" applyAlignment="1">
      <alignment horizontal="center"/>
    </xf>
    <xf numFmtId="2" fontId="39" fillId="32" borderId="0" xfId="0" applyNumberFormat="1" applyFont="1" applyFill="1" applyAlignment="1">
      <alignment horizontal="center" vertical="center"/>
    </xf>
    <xf numFmtId="0" fontId="39" fillId="32" borderId="0" xfId="0" applyFont="1" applyFill="1" applyAlignment="1">
      <alignment horizontal="center" vertical="center"/>
    </xf>
    <xf numFmtId="171" fontId="39" fillId="32" borderId="0" xfId="0" applyNumberFormat="1" applyFont="1" applyFill="1" applyAlignment="1">
      <alignment horizontal="center"/>
    </xf>
    <xf numFmtId="0" fontId="39" fillId="32" borderId="0" xfId="0" applyFont="1" applyFill="1" applyAlignment="1">
      <alignment vertical="center"/>
    </xf>
    <xf numFmtId="0" fontId="38" fillId="32" borderId="0" xfId="0" applyFont="1" applyFill="1"/>
    <xf numFmtId="2" fontId="39" fillId="32" borderId="0" xfId="81" applyNumberFormat="1" applyFont="1" applyFill="1" applyBorder="1" applyAlignment="1">
      <alignment horizontal="center" vertical="center"/>
    </xf>
    <xf numFmtId="0" fontId="39" fillId="32" borderId="0" xfId="81" applyNumberFormat="1" applyFont="1" applyFill="1" applyBorder="1" applyAlignment="1">
      <alignment horizontal="center" vertical="center"/>
    </xf>
    <xf numFmtId="2" fontId="38" fillId="32" borderId="0" xfId="81" applyNumberFormat="1" applyFont="1" applyFill="1" applyBorder="1" applyAlignment="1">
      <alignment vertical="center"/>
    </xf>
    <xf numFmtId="0" fontId="38" fillId="32" borderId="0" xfId="81" applyNumberFormat="1" applyFont="1" applyFill="1" applyBorder="1" applyAlignment="1">
      <alignment vertical="center"/>
    </xf>
    <xf numFmtId="173" fontId="39" fillId="32" borderId="0" xfId="0" applyNumberFormat="1" applyFont="1" applyFill="1" applyAlignment="1">
      <alignment horizontal="center"/>
    </xf>
    <xf numFmtId="173" fontId="39" fillId="32" borderId="0" xfId="81" applyNumberFormat="1" applyFont="1" applyFill="1" applyBorder="1" applyAlignment="1">
      <alignment horizontal="center" vertical="center"/>
    </xf>
    <xf numFmtId="44" fontId="38" fillId="32" borderId="10" xfId="81" applyFont="1" applyFill="1" applyBorder="1" applyAlignment="1">
      <alignment horizontal="center"/>
    </xf>
    <xf numFmtId="44" fontId="39" fillId="32" borderId="10" xfId="81" applyFont="1" applyFill="1" applyBorder="1"/>
    <xf numFmtId="0" fontId="38" fillId="32" borderId="2" xfId="0" quotePrefix="1" applyFont="1" applyFill="1" applyBorder="1" applyAlignment="1">
      <alignment horizontal="center" vertical="center"/>
    </xf>
    <xf numFmtId="44" fontId="38" fillId="32" borderId="10" xfId="81" applyFont="1" applyFill="1" applyBorder="1" applyAlignment="1">
      <alignment vertical="center"/>
    </xf>
    <xf numFmtId="44" fontId="38" fillId="32" borderId="10" xfId="81" applyFont="1" applyFill="1" applyBorder="1"/>
    <xf numFmtId="0" fontId="42" fillId="30" borderId="10" xfId="0" applyFont="1" applyFill="1" applyBorder="1" applyAlignment="1">
      <alignment horizontal="center"/>
    </xf>
    <xf numFmtId="44" fontId="42" fillId="30" borderId="10" xfId="0" applyNumberFormat="1" applyFont="1" applyFill="1" applyBorder="1" applyAlignment="1">
      <alignment horizontal="center"/>
    </xf>
    <xf numFmtId="10" fontId="39" fillId="32" borderId="10" xfId="62" applyNumberFormat="1" applyFont="1" applyFill="1" applyBorder="1" applyAlignment="1">
      <alignment horizontal="right" vertical="center"/>
    </xf>
    <xf numFmtId="49" fontId="32" fillId="32" borderId="7" xfId="0" applyNumberFormat="1" applyFont="1" applyFill="1" applyBorder="1" applyAlignment="1">
      <alignment horizontal="center" vertical="center"/>
    </xf>
    <xf numFmtId="0" fontId="32" fillId="32" borderId="8" xfId="0" applyFont="1" applyFill="1" applyBorder="1" applyAlignment="1">
      <alignment horizontal="left" vertical="center"/>
    </xf>
    <xf numFmtId="4" fontId="32" fillId="32" borderId="8" xfId="0" applyNumberFormat="1" applyFont="1" applyFill="1" applyBorder="1" applyAlignment="1">
      <alignment horizontal="center" vertical="center"/>
    </xf>
    <xf numFmtId="0" fontId="32" fillId="32" borderId="8" xfId="0" applyFont="1" applyFill="1" applyBorder="1" applyAlignment="1">
      <alignment horizontal="left" vertical="center" wrapText="1"/>
    </xf>
    <xf numFmtId="4" fontId="32" fillId="32" borderId="11" xfId="0" applyNumberFormat="1" applyFont="1" applyFill="1" applyBorder="1" applyAlignment="1">
      <alignment horizontal="center" vertical="center"/>
    </xf>
    <xf numFmtId="49" fontId="32" fillId="32" borderId="7" xfId="0" quotePrefix="1" applyNumberFormat="1" applyFont="1" applyFill="1" applyBorder="1" applyAlignment="1">
      <alignment horizontal="center" vertical="center"/>
    </xf>
    <xf numFmtId="4" fontId="32" fillId="32" borderId="8" xfId="0" applyNumberFormat="1" applyFont="1" applyFill="1" applyBorder="1" applyAlignment="1">
      <alignment horizontal="left" vertical="center"/>
    </xf>
    <xf numFmtId="0" fontId="32" fillId="32" borderId="10" xfId="0" applyFont="1" applyFill="1" applyBorder="1" applyAlignment="1">
      <alignment horizontal="center" vertical="center"/>
    </xf>
    <xf numFmtId="44" fontId="32" fillId="32" borderId="10" xfId="81" applyFont="1" applyFill="1" applyBorder="1" applyAlignment="1">
      <alignment horizontal="center" vertical="center"/>
    </xf>
    <xf numFmtId="0" fontId="57" fillId="26" borderId="0" xfId="0" applyFont="1" applyFill="1" applyAlignment="1">
      <alignment vertical="top"/>
    </xf>
    <xf numFmtId="0" fontId="41" fillId="26" borderId="0" xfId="0" applyFont="1" applyFill="1" applyAlignment="1">
      <alignment horizontal="left"/>
    </xf>
    <xf numFmtId="4" fontId="34" fillId="28" borderId="8" xfId="0" applyNumberFormat="1" applyFont="1" applyFill="1" applyBorder="1" applyAlignment="1">
      <alignment wrapText="1"/>
    </xf>
    <xf numFmtId="0" fontId="37" fillId="26" borderId="0" xfId="0" applyFont="1" applyFill="1" applyAlignment="1">
      <alignment wrapText="1"/>
    </xf>
    <xf numFmtId="0" fontId="39" fillId="2" borderId="2" xfId="62" applyFont="1" applyFill="1" applyBorder="1" applyAlignment="1">
      <alignment vertical="center"/>
    </xf>
    <xf numFmtId="10" fontId="34" fillId="0" borderId="0" xfId="82" applyNumberFormat="1" applyFont="1" applyAlignment="1">
      <alignment horizontal="center" vertical="center"/>
    </xf>
    <xf numFmtId="44" fontId="58" fillId="0" borderId="0" xfId="0" applyNumberFormat="1" applyFont="1"/>
    <xf numFmtId="0" fontId="38" fillId="26" borderId="0" xfId="0" quotePrefix="1" applyFont="1" applyFill="1" applyAlignment="1">
      <alignment horizontal="left" vertical="top"/>
    </xf>
    <xf numFmtId="0" fontId="57" fillId="2" borderId="5" xfId="62" applyFont="1" applyFill="1" applyBorder="1" applyAlignment="1">
      <alignment vertical="center" wrapText="1"/>
    </xf>
    <xf numFmtId="10" fontId="34" fillId="0" borderId="0" xfId="82" applyNumberFormat="1" applyFont="1" applyBorder="1" applyAlignment="1">
      <alignment horizontal="center" vertical="center"/>
    </xf>
    <xf numFmtId="2" fontId="41" fillId="29" borderId="10" xfId="81" applyNumberFormat="1" applyFont="1" applyFill="1" applyBorder="1" applyAlignment="1">
      <alignment horizontal="right" vertical="center"/>
    </xf>
    <xf numFmtId="0" fontId="43" fillId="26" borderId="0" xfId="0" applyFont="1" applyFill="1" applyAlignment="1">
      <alignment vertical="top"/>
    </xf>
    <xf numFmtId="0" fontId="46" fillId="26" borderId="0" xfId="0" quotePrefix="1" applyFont="1" applyFill="1" applyAlignment="1">
      <alignment horizontal="left" vertical="top"/>
    </xf>
    <xf numFmtId="2" fontId="34" fillId="26" borderId="10" xfId="0" applyNumberFormat="1" applyFont="1" applyFill="1" applyBorder="1" applyAlignment="1">
      <alignment horizontal="center" vertical="center"/>
    </xf>
    <xf numFmtId="0" fontId="32" fillId="30" borderId="10" xfId="0" applyFont="1" applyFill="1" applyBorder="1" applyAlignment="1">
      <alignment horizontal="center" vertical="center" wrapText="1"/>
    </xf>
    <xf numFmtId="0" fontId="38" fillId="26" borderId="10" xfId="0" applyFont="1" applyFill="1" applyBorder="1" applyAlignment="1">
      <alignment horizontal="left" vertical="center"/>
    </xf>
    <xf numFmtId="0" fontId="38" fillId="26" borderId="10" xfId="0" applyFont="1" applyFill="1" applyBorder="1" applyAlignment="1">
      <alignment horizontal="left"/>
    </xf>
    <xf numFmtId="0" fontId="38" fillId="26" borderId="0" xfId="0" applyFont="1" applyFill="1" applyAlignment="1">
      <alignment horizontal="left" vertical="center"/>
    </xf>
    <xf numFmtId="0" fontId="58" fillId="0" borderId="0" xfId="0" applyFont="1" applyAlignment="1">
      <alignment horizontal="center"/>
    </xf>
    <xf numFmtId="0" fontId="8" fillId="0" borderId="0" xfId="0" applyFont="1"/>
    <xf numFmtId="4" fontId="58" fillId="0" borderId="0" xfId="0" applyNumberFormat="1" applyFont="1" applyAlignment="1">
      <alignment horizontal="center"/>
    </xf>
    <xf numFmtId="4" fontId="0" fillId="0" borderId="0" xfId="0" applyNumberFormat="1"/>
    <xf numFmtId="4" fontId="58" fillId="0" borderId="0" xfId="0" applyNumberFormat="1" applyFont="1"/>
    <xf numFmtId="0" fontId="58" fillId="0" borderId="0" xfId="0" applyFont="1" applyAlignment="1">
      <alignment horizontal="right"/>
    </xf>
    <xf numFmtId="174" fontId="56" fillId="26" borderId="0" xfId="0" applyNumberFormat="1" applyFont="1" applyFill="1" applyAlignment="1">
      <alignment vertical="center"/>
    </xf>
    <xf numFmtId="0" fontId="39" fillId="2" borderId="5" xfId="62" applyFont="1" applyFill="1" applyBorder="1" applyAlignment="1">
      <alignment horizontal="center" vertical="center"/>
    </xf>
    <xf numFmtId="0" fontId="38" fillId="26" borderId="0" xfId="0" applyFont="1" applyFill="1" applyAlignment="1">
      <alignment vertical="top" wrapText="1"/>
    </xf>
    <xf numFmtId="0" fontId="39" fillId="26" borderId="8" xfId="0" applyFont="1" applyFill="1" applyBorder="1" applyAlignment="1">
      <alignment horizontal="center" vertical="center" wrapText="1"/>
    </xf>
    <xf numFmtId="10" fontId="41" fillId="26" borderId="26" xfId="0" applyNumberFormat="1" applyFont="1" applyFill="1" applyBorder="1" applyAlignment="1">
      <alignment horizontal="center" vertical="center"/>
    </xf>
    <xf numFmtId="10" fontId="41" fillId="26" borderId="27" xfId="0" applyNumberFormat="1" applyFont="1" applyFill="1" applyBorder="1" applyAlignment="1">
      <alignment horizontal="center" vertical="center"/>
    </xf>
    <xf numFmtId="10" fontId="41" fillId="26" borderId="28" xfId="0" applyNumberFormat="1" applyFont="1" applyFill="1" applyBorder="1" applyAlignment="1">
      <alignment horizontal="center" vertical="center"/>
    </xf>
    <xf numFmtId="0" fontId="39" fillId="26" borderId="10" xfId="0" applyFont="1" applyFill="1" applyBorder="1" applyAlignment="1">
      <alignment horizontal="center" vertical="center"/>
    </xf>
    <xf numFmtId="10" fontId="39" fillId="26" borderId="10" xfId="0" applyNumberFormat="1" applyFont="1" applyFill="1" applyBorder="1" applyAlignment="1">
      <alignment horizontal="center" vertical="center"/>
    </xf>
    <xf numFmtId="0" fontId="39" fillId="26" borderId="10" xfId="0" applyFont="1" applyFill="1" applyBorder="1" applyAlignment="1">
      <alignment horizontal="center"/>
    </xf>
    <xf numFmtId="10" fontId="39" fillId="26" borderId="10" xfId="82" applyNumberFormat="1" applyFont="1" applyFill="1" applyBorder="1" applyAlignment="1">
      <alignment horizontal="center"/>
    </xf>
    <xf numFmtId="2" fontId="43" fillId="26" borderId="0" xfId="81" applyNumberFormat="1" applyFont="1" applyFill="1" applyAlignment="1">
      <alignment horizontal="center"/>
    </xf>
    <xf numFmtId="10" fontId="39" fillId="26" borderId="10" xfId="82" applyNumberFormat="1" applyFont="1" applyFill="1" applyBorder="1" applyAlignment="1">
      <alignment horizontal="center" vertical="center"/>
    </xf>
    <xf numFmtId="0" fontId="38" fillId="26" borderId="10" xfId="81" applyNumberFormat="1" applyFont="1" applyFill="1" applyBorder="1" applyAlignment="1">
      <alignment horizontal="left" vertical="center"/>
    </xf>
    <xf numFmtId="2" fontId="39" fillId="26" borderId="10" xfId="0" applyNumberFormat="1" applyFont="1" applyFill="1" applyBorder="1" applyAlignment="1">
      <alignment horizontal="center" vertical="center"/>
    </xf>
    <xf numFmtId="44" fontId="54" fillId="0" borderId="21" xfId="81" applyFont="1" applyBorder="1" applyAlignment="1">
      <alignment horizontal="center" vertical="center"/>
    </xf>
    <xf numFmtId="0" fontId="37" fillId="2" borderId="0" xfId="62" applyFont="1" applyFill="1" applyAlignment="1">
      <alignment horizontal="center" vertical="center"/>
    </xf>
    <xf numFmtId="174" fontId="39" fillId="26" borderId="5" xfId="0" applyNumberFormat="1" applyFont="1" applyFill="1" applyBorder="1" applyAlignment="1">
      <alignment horizontal="right" vertical="center"/>
    </xf>
    <xf numFmtId="10" fontId="32" fillId="33" borderId="25" xfId="62" applyNumberFormat="1" applyFont="1" applyFill="1" applyBorder="1" applyAlignment="1">
      <alignment horizontal="right" vertical="center"/>
    </xf>
    <xf numFmtId="9" fontId="54" fillId="0" borderId="21" xfId="82" applyFont="1" applyBorder="1" applyAlignment="1">
      <alignment horizontal="center" vertical="center"/>
    </xf>
    <xf numFmtId="9" fontId="53" fillId="0" borderId="0" xfId="82" applyFont="1" applyBorder="1" applyAlignment="1">
      <alignment horizontal="right" vertical="center"/>
    </xf>
    <xf numFmtId="9" fontId="34" fillId="0" borderId="0" xfId="82" applyFont="1" applyAlignment="1">
      <alignment horizontal="center" vertical="center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44" fontId="32" fillId="0" borderId="21" xfId="81" applyFont="1" applyBorder="1" applyAlignment="1">
      <alignment horizontal="right" vertical="center"/>
    </xf>
    <xf numFmtId="44" fontId="53" fillId="0" borderId="0" xfId="81" applyFont="1" applyBorder="1" applyAlignment="1">
      <alignment horizontal="right" vertical="center"/>
    </xf>
    <xf numFmtId="44" fontId="39" fillId="32" borderId="10" xfId="81" applyFont="1" applyFill="1" applyBorder="1" applyAlignment="1">
      <alignment horizontal="right" vertical="center"/>
    </xf>
    <xf numFmtId="44" fontId="40" fillId="27" borderId="0" xfId="81" applyFont="1" applyFill="1" applyBorder="1" applyAlignment="1">
      <alignment horizontal="right" vertical="center"/>
    </xf>
    <xf numFmtId="44" fontId="38" fillId="0" borderId="0" xfId="81" applyFont="1" applyAlignment="1">
      <alignment horizontal="center" vertical="center"/>
    </xf>
    <xf numFmtId="10" fontId="32" fillId="27" borderId="25" xfId="62" applyNumberFormat="1" applyFont="1" applyFill="1" applyBorder="1" applyAlignment="1">
      <alignment horizontal="right" vertical="center"/>
    </xf>
    <xf numFmtId="44" fontId="34" fillId="0" borderId="0" xfId="82" applyNumberFormat="1" applyFont="1" applyAlignment="1">
      <alignment horizontal="center" vertical="center"/>
    </xf>
    <xf numFmtId="0" fontId="32" fillId="32" borderId="10" xfId="0" applyFont="1" applyFill="1" applyBorder="1" applyAlignment="1">
      <alignment horizontal="center" vertical="center"/>
    </xf>
    <xf numFmtId="0" fontId="32" fillId="31" borderId="10" xfId="0" applyFont="1" applyFill="1" applyBorder="1" applyAlignment="1">
      <alignment horizontal="center" vertical="center"/>
    </xf>
    <xf numFmtId="0" fontId="32" fillId="31" borderId="10" xfId="0" applyFont="1" applyFill="1" applyBorder="1" applyAlignment="1">
      <alignment horizontal="center" vertical="center" wrapText="1"/>
    </xf>
    <xf numFmtId="0" fontId="36" fillId="31" borderId="10" xfId="0" applyFont="1" applyFill="1" applyBorder="1" applyAlignment="1">
      <alignment horizontal="center" vertical="center"/>
    </xf>
    <xf numFmtId="4" fontId="36" fillId="31" borderId="10" xfId="0" applyNumberFormat="1" applyFont="1" applyFill="1" applyBorder="1" applyAlignment="1">
      <alignment horizontal="center" vertical="center"/>
    </xf>
    <xf numFmtId="4" fontId="32" fillId="0" borderId="0" xfId="0" applyNumberFormat="1" applyFont="1" applyAlignment="1">
      <alignment horizontal="center" vertical="center"/>
    </xf>
    <xf numFmtId="0" fontId="31" fillId="26" borderId="0" xfId="0" applyFont="1" applyFill="1" applyAlignment="1">
      <alignment horizontal="center" vertical="center"/>
    </xf>
    <xf numFmtId="0" fontId="32" fillId="26" borderId="0" xfId="0" applyFont="1" applyFill="1" applyAlignment="1">
      <alignment horizontal="left" vertical="center"/>
    </xf>
    <xf numFmtId="0" fontId="34" fillId="0" borderId="7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4" fontId="33" fillId="0" borderId="0" xfId="0" applyNumberFormat="1" applyFont="1" applyAlignment="1">
      <alignment horizontal="center" vertical="center" wrapText="1"/>
    </xf>
    <xf numFmtId="174" fontId="32" fillId="26" borderId="0" xfId="0" applyNumberFormat="1" applyFont="1" applyFill="1" applyAlignment="1">
      <alignment horizontal="right" vertical="center"/>
    </xf>
    <xf numFmtId="10" fontId="34" fillId="0" borderId="0" xfId="82" applyNumberFormat="1" applyFont="1" applyAlignment="1">
      <alignment horizontal="center" vertical="center"/>
    </xf>
    <xf numFmtId="10" fontId="34" fillId="0" borderId="0" xfId="82" applyNumberFormat="1" applyFont="1" applyBorder="1" applyAlignment="1">
      <alignment horizontal="center" vertical="center"/>
    </xf>
    <xf numFmtId="4" fontId="34" fillId="26" borderId="0" xfId="0" applyNumberFormat="1" applyFont="1" applyFill="1" applyAlignment="1">
      <alignment horizontal="right" vertical="center"/>
    </xf>
    <xf numFmtId="4" fontId="34" fillId="26" borderId="0" xfId="0" applyNumberFormat="1" applyFont="1" applyFill="1" applyAlignment="1">
      <alignment horizontal="center" vertical="center"/>
    </xf>
    <xf numFmtId="0" fontId="32" fillId="32" borderId="8" xfId="0" applyFont="1" applyFill="1" applyBorder="1" applyAlignment="1">
      <alignment horizontal="left" vertical="center" wrapText="1"/>
    </xf>
    <xf numFmtId="0" fontId="32" fillId="32" borderId="11" xfId="0" applyFont="1" applyFill="1" applyBorder="1" applyAlignment="1">
      <alignment horizontal="left" vertical="center" wrapText="1"/>
    </xf>
    <xf numFmtId="0" fontId="34" fillId="26" borderId="7" xfId="0" applyFont="1" applyFill="1" applyBorder="1" applyAlignment="1">
      <alignment horizontal="center" vertical="center"/>
    </xf>
    <xf numFmtId="0" fontId="34" fillId="26" borderId="8" xfId="0" applyFont="1" applyFill="1" applyBorder="1" applyAlignment="1">
      <alignment horizontal="center" vertical="center"/>
    </xf>
    <xf numFmtId="0" fontId="34" fillId="26" borderId="11" xfId="0" applyFont="1" applyFill="1" applyBorder="1" applyAlignment="1">
      <alignment horizontal="center" vertical="center"/>
    </xf>
    <xf numFmtId="174" fontId="32" fillId="26" borderId="5" xfId="0" applyNumberFormat="1" applyFont="1" applyFill="1" applyBorder="1" applyAlignment="1">
      <alignment horizontal="right" vertical="center"/>
    </xf>
    <xf numFmtId="0" fontId="48" fillId="26" borderId="4" xfId="0" applyFont="1" applyFill="1" applyBorder="1" applyAlignment="1">
      <alignment horizontal="center" vertical="center" wrapText="1"/>
    </xf>
    <xf numFmtId="0" fontId="48" fillId="26" borderId="5" xfId="0" applyFont="1" applyFill="1" applyBorder="1" applyAlignment="1">
      <alignment horizontal="center" vertical="center" wrapText="1"/>
    </xf>
    <xf numFmtId="0" fontId="48" fillId="26" borderId="23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174" fontId="39" fillId="26" borderId="5" xfId="0" applyNumberFormat="1" applyFont="1" applyFill="1" applyBorder="1" applyAlignment="1">
      <alignment horizontal="right" vertical="center"/>
    </xf>
    <xf numFmtId="0" fontId="54" fillId="33" borderId="29" xfId="62" applyFont="1" applyFill="1" applyBorder="1" applyAlignment="1">
      <alignment horizontal="center" vertical="center"/>
    </xf>
    <xf numFmtId="0" fontId="54" fillId="33" borderId="30" xfId="62" applyFont="1" applyFill="1" applyBorder="1" applyAlignment="1">
      <alignment horizontal="center" vertical="center"/>
    </xf>
    <xf numFmtId="2" fontId="53" fillId="0" borderId="20" xfId="62" applyNumberFormat="1" applyFont="1" applyBorder="1" applyAlignment="1">
      <alignment horizontal="center" vertical="center"/>
    </xf>
    <xf numFmtId="2" fontId="53" fillId="0" borderId="25" xfId="62" applyNumberFormat="1" applyFont="1" applyBorder="1" applyAlignment="1">
      <alignment horizontal="center" vertical="center"/>
    </xf>
    <xf numFmtId="2" fontId="53" fillId="0" borderId="21" xfId="62" applyNumberFormat="1" applyFont="1" applyBorder="1" applyAlignment="1">
      <alignment horizontal="center" vertical="center"/>
    </xf>
    <xf numFmtId="4" fontId="53" fillId="0" borderId="20" xfId="62" applyNumberFormat="1" applyFont="1" applyBorder="1" applyAlignment="1">
      <alignment horizontal="center" vertical="center" wrapText="1"/>
    </xf>
    <xf numFmtId="4" fontId="53" fillId="0" borderId="25" xfId="62" applyNumberFormat="1" applyFont="1" applyBorder="1" applyAlignment="1">
      <alignment horizontal="center" vertical="center" wrapText="1"/>
    </xf>
    <xf numFmtId="0" fontId="53" fillId="0" borderId="21" xfId="62" applyFont="1" applyBorder="1" applyAlignment="1">
      <alignment horizontal="center" vertical="center" wrapText="1"/>
    </xf>
    <xf numFmtId="44" fontId="54" fillId="0" borderId="20" xfId="81" applyFont="1" applyBorder="1" applyAlignment="1">
      <alignment horizontal="center" vertical="center"/>
    </xf>
    <xf numFmtId="44" fontId="54" fillId="0" borderId="25" xfId="81" applyFont="1" applyBorder="1" applyAlignment="1">
      <alignment horizontal="center" vertical="center"/>
    </xf>
    <xf numFmtId="44" fontId="54" fillId="0" borderId="21" xfId="81" applyFont="1" applyBorder="1" applyAlignment="1">
      <alignment horizontal="center" vertical="center"/>
    </xf>
    <xf numFmtId="0" fontId="40" fillId="31" borderId="10" xfId="62" applyFont="1" applyFill="1" applyBorder="1" applyAlignment="1">
      <alignment horizontal="center" vertical="center"/>
    </xf>
    <xf numFmtId="0" fontId="40" fillId="31" borderId="7" xfId="62" applyFont="1" applyFill="1" applyBorder="1" applyAlignment="1">
      <alignment horizontal="center" vertical="center"/>
    </xf>
    <xf numFmtId="0" fontId="40" fillId="31" borderId="8" xfId="62" applyFont="1" applyFill="1" applyBorder="1" applyAlignment="1">
      <alignment horizontal="center" vertical="center"/>
    </xf>
    <xf numFmtId="0" fontId="37" fillId="2" borderId="0" xfId="62" applyFont="1" applyFill="1" applyAlignment="1">
      <alignment horizontal="center" vertical="center"/>
    </xf>
    <xf numFmtId="164" fontId="40" fillId="31" borderId="10" xfId="1" applyFont="1" applyFill="1" applyBorder="1" applyAlignment="1">
      <alignment horizontal="center" vertical="center"/>
    </xf>
    <xf numFmtId="0" fontId="39" fillId="2" borderId="2" xfId="62" applyFont="1" applyFill="1" applyBorder="1" applyAlignment="1">
      <alignment horizontal="left" vertical="center"/>
    </xf>
    <xf numFmtId="0" fontId="39" fillId="2" borderId="0" xfId="62" applyFont="1" applyFill="1" applyAlignment="1">
      <alignment horizontal="left" vertical="center"/>
    </xf>
    <xf numFmtId="4" fontId="53" fillId="0" borderId="20" xfId="62" applyNumberFormat="1" applyFont="1" applyBorder="1" applyAlignment="1">
      <alignment horizontal="center" vertical="top" wrapText="1"/>
    </xf>
    <xf numFmtId="4" fontId="53" fillId="0" borderId="25" xfId="62" applyNumberFormat="1" applyFont="1" applyBorder="1" applyAlignment="1">
      <alignment horizontal="center" vertical="top" wrapText="1"/>
    </xf>
    <xf numFmtId="0" fontId="53" fillId="0" borderId="21" xfId="62" applyFont="1" applyBorder="1" applyAlignment="1">
      <alignment horizontal="center" vertical="top" wrapText="1"/>
    </xf>
    <xf numFmtId="0" fontId="40" fillId="32" borderId="10" xfId="62" applyFont="1" applyFill="1" applyBorder="1" applyAlignment="1">
      <alignment horizontal="center" vertical="center"/>
    </xf>
    <xf numFmtId="169" fontId="40" fillId="32" borderId="10" xfId="1" applyNumberFormat="1" applyFont="1" applyFill="1" applyBorder="1" applyAlignment="1">
      <alignment horizontal="center" vertical="center"/>
    </xf>
    <xf numFmtId="44" fontId="40" fillId="32" borderId="10" xfId="81" applyFont="1" applyFill="1" applyBorder="1" applyAlignment="1">
      <alignment horizontal="center" vertical="center"/>
    </xf>
    <xf numFmtId="0" fontId="34" fillId="31" borderId="7" xfId="0" applyFont="1" applyFill="1" applyBorder="1" applyAlignment="1">
      <alignment horizontal="center" vertical="center"/>
    </xf>
    <xf numFmtId="0" fontId="34" fillId="31" borderId="8" xfId="0" applyFont="1" applyFill="1" applyBorder="1" applyAlignment="1">
      <alignment horizontal="center" vertical="center"/>
    </xf>
    <xf numFmtId="0" fontId="34" fillId="31" borderId="11" xfId="0" applyFont="1" applyFill="1" applyBorder="1" applyAlignment="1">
      <alignment horizontal="center" vertical="center"/>
    </xf>
    <xf numFmtId="0" fontId="32" fillId="29" borderId="7" xfId="0" applyFont="1" applyFill="1" applyBorder="1" applyAlignment="1">
      <alignment horizontal="right" vertical="center"/>
    </xf>
    <xf numFmtId="0" fontId="32" fillId="29" borderId="8" xfId="0" applyFont="1" applyFill="1" applyBorder="1" applyAlignment="1">
      <alignment horizontal="right" vertical="center"/>
    </xf>
    <xf numFmtId="0" fontId="32" fillId="29" borderId="11" xfId="0" applyFont="1" applyFill="1" applyBorder="1" applyAlignment="1">
      <alignment horizontal="right" vertical="center"/>
    </xf>
    <xf numFmtId="0" fontId="34" fillId="26" borderId="7" xfId="0" applyFont="1" applyFill="1" applyBorder="1" applyAlignment="1">
      <alignment horizontal="center"/>
    </xf>
    <xf numFmtId="0" fontId="34" fillId="26" borderId="8" xfId="0" applyFont="1" applyFill="1" applyBorder="1" applyAlignment="1">
      <alignment horizontal="center"/>
    </xf>
    <xf numFmtId="0" fontId="34" fillId="26" borderId="11" xfId="0" applyFont="1" applyFill="1" applyBorder="1" applyAlignment="1">
      <alignment horizontal="center"/>
    </xf>
    <xf numFmtId="0" fontId="32" fillId="27" borderId="7" xfId="0" applyFont="1" applyFill="1" applyBorder="1" applyAlignment="1">
      <alignment horizontal="center" vertical="center"/>
    </xf>
    <xf numFmtId="0" fontId="32" fillId="27" borderId="8" xfId="0" applyFont="1" applyFill="1" applyBorder="1" applyAlignment="1">
      <alignment horizontal="center" vertical="center"/>
    </xf>
    <xf numFmtId="0" fontId="32" fillId="27" borderId="11" xfId="0" applyFont="1" applyFill="1" applyBorder="1" applyAlignment="1">
      <alignment horizontal="center" vertical="center"/>
    </xf>
    <xf numFmtId="0" fontId="41" fillId="26" borderId="1" xfId="0" applyFont="1" applyFill="1" applyBorder="1" applyAlignment="1">
      <alignment horizontal="center" vertical="center"/>
    </xf>
    <xf numFmtId="0" fontId="41" fillId="26" borderId="22" xfId="0" applyFont="1" applyFill="1" applyBorder="1" applyAlignment="1">
      <alignment horizontal="center" vertical="center"/>
    </xf>
    <xf numFmtId="0" fontId="41" fillId="26" borderId="24" xfId="0" applyFont="1" applyFill="1" applyBorder="1" applyAlignment="1">
      <alignment horizontal="center" vertical="center"/>
    </xf>
    <xf numFmtId="0" fontId="41" fillId="26" borderId="2" xfId="0" applyFont="1" applyFill="1" applyBorder="1" applyAlignment="1">
      <alignment horizontal="center" vertical="center"/>
    </xf>
    <xf numFmtId="0" fontId="41" fillId="26" borderId="0" xfId="0" applyFont="1" applyFill="1" applyAlignment="1">
      <alignment horizontal="center" vertical="center"/>
    </xf>
    <xf numFmtId="0" fontId="41" fillId="26" borderId="3" xfId="0" applyFont="1" applyFill="1" applyBorder="1" applyAlignment="1">
      <alignment horizontal="center" vertical="center"/>
    </xf>
    <xf numFmtId="0" fontId="41" fillId="26" borderId="4" xfId="0" applyFont="1" applyFill="1" applyBorder="1" applyAlignment="1">
      <alignment horizontal="center" vertical="center"/>
    </xf>
    <xf numFmtId="0" fontId="41" fillId="26" borderId="5" xfId="0" applyFont="1" applyFill="1" applyBorder="1" applyAlignment="1">
      <alignment horizontal="center" vertical="center"/>
    </xf>
    <xf numFmtId="0" fontId="41" fillId="26" borderId="23" xfId="0" applyFont="1" applyFill="1" applyBorder="1" applyAlignment="1">
      <alignment horizontal="center" vertical="center"/>
    </xf>
    <xf numFmtId="0" fontId="41" fillId="26" borderId="7" xfId="0" applyFont="1" applyFill="1" applyBorder="1" applyAlignment="1">
      <alignment horizontal="center"/>
    </xf>
    <xf numFmtId="0" fontId="41" fillId="26" borderId="8" xfId="0" applyFont="1" applyFill="1" applyBorder="1" applyAlignment="1">
      <alignment horizontal="center"/>
    </xf>
    <xf numFmtId="0" fontId="41" fillId="26" borderId="11" xfId="0" applyFont="1" applyFill="1" applyBorder="1" applyAlignment="1">
      <alignment horizontal="center"/>
    </xf>
    <xf numFmtId="0" fontId="32" fillId="30" borderId="7" xfId="0" applyFont="1" applyFill="1" applyBorder="1" applyAlignment="1">
      <alignment horizontal="left" vertical="center" wrapText="1"/>
    </xf>
    <xf numFmtId="0" fontId="32" fillId="30" borderId="8" xfId="0" applyFont="1" applyFill="1" applyBorder="1" applyAlignment="1">
      <alignment horizontal="left" vertical="center" wrapText="1"/>
    </xf>
    <xf numFmtId="0" fontId="32" fillId="30" borderId="11" xfId="0" applyFont="1" applyFill="1" applyBorder="1" applyAlignment="1">
      <alignment horizontal="left" vertical="center" wrapText="1"/>
    </xf>
    <xf numFmtId="0" fontId="32" fillId="30" borderId="7" xfId="0" applyFont="1" applyFill="1" applyBorder="1" applyAlignment="1">
      <alignment horizontal="left"/>
    </xf>
    <xf numFmtId="0" fontId="32" fillId="30" borderId="8" xfId="0" applyFont="1" applyFill="1" applyBorder="1" applyAlignment="1">
      <alignment horizontal="left"/>
    </xf>
    <xf numFmtId="0" fontId="37" fillId="26" borderId="0" xfId="0" applyFont="1" applyFill="1" applyAlignment="1">
      <alignment horizontal="center" vertical="center"/>
    </xf>
    <xf numFmtId="0" fontId="42" fillId="31" borderId="7" xfId="0" applyFont="1" applyFill="1" applyBorder="1" applyAlignment="1">
      <alignment horizontal="center" vertical="center"/>
    </xf>
    <xf numFmtId="0" fontId="42" fillId="31" borderId="8" xfId="0" applyFont="1" applyFill="1" applyBorder="1" applyAlignment="1">
      <alignment horizontal="center" vertical="center"/>
    </xf>
    <xf numFmtId="0" fontId="38" fillId="26" borderId="0" xfId="0" applyFont="1" applyFill="1" applyAlignment="1">
      <alignment horizontal="left"/>
    </xf>
    <xf numFmtId="0" fontId="38" fillId="26" borderId="0" xfId="0" applyFont="1" applyFill="1" applyAlignment="1">
      <alignment horizontal="left" vertical="top" wrapText="1"/>
    </xf>
    <xf numFmtId="0" fontId="38" fillId="26" borderId="0" xfId="0" applyFont="1" applyFill="1" applyAlignment="1">
      <alignment horizontal="left" vertical="center" wrapText="1"/>
    </xf>
    <xf numFmtId="0" fontId="41" fillId="26" borderId="27" xfId="0" applyFont="1" applyFill="1" applyBorder="1" applyAlignment="1">
      <alignment horizontal="left" vertical="center" wrapText="1"/>
    </xf>
    <xf numFmtId="0" fontId="41" fillId="26" borderId="27" xfId="0" applyFont="1" applyFill="1" applyBorder="1" applyAlignment="1">
      <alignment horizontal="left" vertical="center"/>
    </xf>
    <xf numFmtId="0" fontId="41" fillId="26" borderId="28" xfId="0" applyFont="1" applyFill="1" applyBorder="1" applyAlignment="1">
      <alignment horizontal="left" vertical="center"/>
    </xf>
    <xf numFmtId="0" fontId="41" fillId="26" borderId="28" xfId="0" applyFont="1" applyFill="1" applyBorder="1" applyAlignment="1">
      <alignment horizontal="left" vertical="center" wrapText="1"/>
    </xf>
    <xf numFmtId="0" fontId="41" fillId="26" borderId="26" xfId="0" applyFont="1" applyFill="1" applyBorder="1" applyAlignment="1">
      <alignment horizontal="left" vertical="center" wrapText="1"/>
    </xf>
    <xf numFmtId="0" fontId="41" fillId="26" borderId="26" xfId="0" applyFont="1" applyFill="1" applyBorder="1" applyAlignment="1">
      <alignment horizontal="left" vertical="top" wrapText="1"/>
    </xf>
    <xf numFmtId="0" fontId="39" fillId="26" borderId="8" xfId="0" applyFont="1" applyFill="1" applyBorder="1" applyAlignment="1">
      <alignment horizontal="center" vertical="center"/>
    </xf>
    <xf numFmtId="0" fontId="39" fillId="26" borderId="8" xfId="0" applyFont="1" applyFill="1" applyBorder="1" applyAlignment="1">
      <alignment horizontal="center" vertical="center" wrapText="1"/>
    </xf>
    <xf numFmtId="0" fontId="49" fillId="26" borderId="7" xfId="0" applyFont="1" applyFill="1" applyBorder="1" applyAlignment="1">
      <alignment horizontal="center" vertical="center"/>
    </xf>
    <xf numFmtId="0" fontId="49" fillId="26" borderId="11" xfId="0" applyFont="1" applyFill="1" applyBorder="1" applyAlignment="1">
      <alignment horizontal="center" vertical="center"/>
    </xf>
    <xf numFmtId="0" fontId="38" fillId="26" borderId="7" xfId="0" applyFont="1" applyFill="1" applyBorder="1" applyAlignment="1">
      <alignment horizontal="center" vertical="center"/>
    </xf>
    <xf numFmtId="0" fontId="38" fillId="26" borderId="8" xfId="0" applyFont="1" applyFill="1" applyBorder="1" applyAlignment="1">
      <alignment horizontal="center" vertical="center"/>
    </xf>
    <xf numFmtId="0" fontId="38" fillId="26" borderId="11" xfId="0" applyFont="1" applyFill="1" applyBorder="1" applyAlignment="1">
      <alignment horizontal="center" vertical="center"/>
    </xf>
    <xf numFmtId="0" fontId="39" fillId="26" borderId="1" xfId="0" quotePrefix="1" applyFont="1" applyFill="1" applyBorder="1" applyAlignment="1">
      <alignment horizontal="center" vertical="center" textRotation="90"/>
    </xf>
    <xf numFmtId="0" fontId="39" fillId="26" borderId="24" xfId="0" applyFont="1" applyFill="1" applyBorder="1" applyAlignment="1">
      <alignment horizontal="center" vertical="center" textRotation="90"/>
    </xf>
    <xf numFmtId="0" fontId="39" fillId="26" borderId="2" xfId="0" applyFont="1" applyFill="1" applyBorder="1" applyAlignment="1">
      <alignment horizontal="center" vertical="center" textRotation="90"/>
    </xf>
    <xf numFmtId="0" fontId="39" fillId="26" borderId="3" xfId="0" applyFont="1" applyFill="1" applyBorder="1" applyAlignment="1">
      <alignment horizontal="center" vertical="center" textRotation="90"/>
    </xf>
    <xf numFmtId="0" fontId="39" fillId="26" borderId="4" xfId="0" applyFont="1" applyFill="1" applyBorder="1" applyAlignment="1">
      <alignment horizontal="center" vertical="center" textRotation="90"/>
    </xf>
    <xf numFmtId="0" fontId="39" fillId="26" borderId="23" xfId="0" applyFont="1" applyFill="1" applyBorder="1" applyAlignment="1">
      <alignment horizontal="center" vertical="center" textRotation="90"/>
    </xf>
    <xf numFmtId="0" fontId="41" fillId="26" borderId="1" xfId="0" applyFont="1" applyFill="1" applyBorder="1" applyAlignment="1">
      <alignment horizontal="left" vertical="center" wrapText="1"/>
    </xf>
    <xf numFmtId="0" fontId="41" fillId="26" borderId="22" xfId="0" applyFont="1" applyFill="1" applyBorder="1" applyAlignment="1">
      <alignment horizontal="left" vertical="center"/>
    </xf>
    <xf numFmtId="0" fontId="41" fillId="26" borderId="24" xfId="0" applyFont="1" applyFill="1" applyBorder="1" applyAlignment="1">
      <alignment horizontal="left" vertical="center"/>
    </xf>
    <xf numFmtId="0" fontId="41" fillId="26" borderId="2" xfId="0" applyFont="1" applyFill="1" applyBorder="1" applyAlignment="1">
      <alignment horizontal="left" vertical="center"/>
    </xf>
    <xf numFmtId="0" fontId="41" fillId="26" borderId="0" xfId="0" applyFont="1" applyFill="1" applyAlignment="1">
      <alignment horizontal="left" vertical="center"/>
    </xf>
    <xf numFmtId="0" fontId="41" fillId="26" borderId="3" xfId="0" applyFont="1" applyFill="1" applyBorder="1" applyAlignment="1">
      <alignment horizontal="left" vertical="center"/>
    </xf>
    <xf numFmtId="0" fontId="41" fillId="26" borderId="4" xfId="0" applyFont="1" applyFill="1" applyBorder="1" applyAlignment="1">
      <alignment horizontal="left" vertical="center"/>
    </xf>
    <xf numFmtId="0" fontId="41" fillId="26" borderId="5" xfId="0" applyFont="1" applyFill="1" applyBorder="1" applyAlignment="1">
      <alignment horizontal="left" vertical="center"/>
    </xf>
    <xf numFmtId="0" fontId="41" fillId="26" borderId="23" xfId="0" applyFont="1" applyFill="1" applyBorder="1" applyAlignment="1">
      <alignment horizontal="left" vertical="center"/>
    </xf>
    <xf numFmtId="0" fontId="39" fillId="26" borderId="6" xfId="0" applyFont="1" applyFill="1" applyBorder="1" applyAlignment="1">
      <alignment horizontal="center" vertical="center"/>
    </xf>
    <xf numFmtId="0" fontId="39" fillId="26" borderId="25" xfId="0" applyFont="1" applyFill="1" applyBorder="1" applyAlignment="1">
      <alignment horizontal="center" vertical="center"/>
    </xf>
    <xf numFmtId="0" fontId="39" fillId="26" borderId="9" xfId="0" applyFont="1" applyFill="1" applyBorder="1" applyAlignment="1">
      <alignment horizontal="center" vertical="center"/>
    </xf>
    <xf numFmtId="0" fontId="39" fillId="26" borderId="0" xfId="0" applyFont="1" applyFill="1" applyAlignment="1">
      <alignment horizontal="center" vertical="center"/>
    </xf>
    <xf numFmtId="0" fontId="39" fillId="26" borderId="7" xfId="0" applyFont="1" applyFill="1" applyBorder="1" applyAlignment="1">
      <alignment horizontal="center" vertical="center"/>
    </xf>
    <xf numFmtId="0" fontId="39" fillId="26" borderId="11" xfId="0" applyFont="1" applyFill="1" applyBorder="1" applyAlignment="1">
      <alignment horizontal="center" vertical="center"/>
    </xf>
    <xf numFmtId="0" fontId="39" fillId="26" borderId="0" xfId="0" applyFont="1" applyFill="1" applyAlignment="1">
      <alignment horizontal="center"/>
    </xf>
    <xf numFmtId="0" fontId="43" fillId="26" borderId="0" xfId="0" applyFont="1" applyFill="1" applyAlignment="1">
      <alignment horizontal="left" vertical="top" wrapText="1"/>
    </xf>
    <xf numFmtId="0" fontId="42" fillId="29" borderId="7" xfId="0" applyFont="1" applyFill="1" applyBorder="1" applyAlignment="1">
      <alignment horizontal="right" vertical="center"/>
    </xf>
    <xf numFmtId="0" fontId="42" fillId="29" borderId="8" xfId="0" applyFont="1" applyFill="1" applyBorder="1" applyAlignment="1">
      <alignment horizontal="right" vertical="center"/>
    </xf>
    <xf numFmtId="0" fontId="42" fillId="29" borderId="11" xfId="0" applyFont="1" applyFill="1" applyBorder="1" applyAlignment="1">
      <alignment horizontal="right" vertical="center"/>
    </xf>
    <xf numFmtId="0" fontId="42" fillId="27" borderId="7" xfId="0" applyFont="1" applyFill="1" applyBorder="1" applyAlignment="1">
      <alignment horizontal="right" vertical="center"/>
    </xf>
    <xf numFmtId="0" fontId="42" fillId="27" borderId="8" xfId="0" applyFont="1" applyFill="1" applyBorder="1" applyAlignment="1">
      <alignment horizontal="right" vertical="center"/>
    </xf>
    <xf numFmtId="0" fontId="42" fillId="27" borderId="11" xfId="0" applyFont="1" applyFill="1" applyBorder="1" applyAlignment="1">
      <alignment horizontal="right" vertical="center"/>
    </xf>
    <xf numFmtId="0" fontId="34" fillId="26" borderId="6" xfId="0" applyFont="1" applyFill="1" applyBorder="1" applyAlignment="1">
      <alignment horizontal="center" wrapText="1"/>
    </xf>
    <xf numFmtId="0" fontId="34" fillId="26" borderId="9" xfId="0" applyFont="1" applyFill="1" applyBorder="1" applyAlignment="1">
      <alignment horizontal="center" wrapText="1"/>
    </xf>
    <xf numFmtId="0" fontId="42" fillId="29" borderId="10" xfId="0" applyFont="1" applyFill="1" applyBorder="1" applyAlignment="1">
      <alignment horizontal="right" vertical="center"/>
    </xf>
    <xf numFmtId="0" fontId="41" fillId="26" borderId="7" xfId="0" applyFont="1" applyFill="1" applyBorder="1" applyAlignment="1">
      <alignment horizontal="center" vertical="center"/>
    </xf>
    <xf numFmtId="0" fontId="41" fillId="26" borderId="8" xfId="0" applyFont="1" applyFill="1" applyBorder="1" applyAlignment="1">
      <alignment horizontal="center" vertical="center"/>
    </xf>
    <xf numFmtId="0" fontId="41" fillId="26" borderId="11" xfId="0" applyFont="1" applyFill="1" applyBorder="1" applyAlignment="1">
      <alignment horizontal="center" vertical="center"/>
    </xf>
    <xf numFmtId="44" fontId="34" fillId="26" borderId="6" xfId="81" applyFont="1" applyFill="1" applyBorder="1" applyAlignment="1">
      <alignment horizontal="center" vertical="center" wrapText="1"/>
    </xf>
    <xf numFmtId="44" fontId="34" fillId="26" borderId="25" xfId="81" applyFont="1" applyFill="1" applyBorder="1" applyAlignment="1">
      <alignment horizontal="center" vertical="center" wrapText="1"/>
    </xf>
    <xf numFmtId="44" fontId="34" fillId="26" borderId="9" xfId="81" applyFont="1" applyFill="1" applyBorder="1" applyAlignment="1">
      <alignment horizontal="center" vertical="center" wrapText="1"/>
    </xf>
    <xf numFmtId="0" fontId="39" fillId="31" borderId="7" xfId="0" applyFont="1" applyFill="1" applyBorder="1" applyAlignment="1">
      <alignment horizontal="center" vertical="center"/>
    </xf>
    <xf numFmtId="0" fontId="39" fillId="31" borderId="8" xfId="0" applyFont="1" applyFill="1" applyBorder="1" applyAlignment="1">
      <alignment horizontal="center" vertical="center"/>
    </xf>
    <xf numFmtId="0" fontId="39" fillId="31" borderId="11" xfId="0" applyFont="1" applyFill="1" applyBorder="1" applyAlignment="1">
      <alignment horizontal="center" vertical="center"/>
    </xf>
    <xf numFmtId="0" fontId="42" fillId="30" borderId="7" xfId="0" applyFont="1" applyFill="1" applyBorder="1" applyAlignment="1">
      <alignment horizontal="left"/>
    </xf>
    <xf numFmtId="0" fontId="42" fillId="30" borderId="8" xfId="0" applyFont="1" applyFill="1" applyBorder="1" applyAlignment="1">
      <alignment horizontal="left"/>
    </xf>
    <xf numFmtId="0" fontId="42" fillId="30" borderId="11" xfId="0" applyFont="1" applyFill="1" applyBorder="1" applyAlignment="1">
      <alignment horizontal="left"/>
    </xf>
    <xf numFmtId="0" fontId="42" fillId="29" borderId="10" xfId="0" applyFont="1" applyFill="1" applyBorder="1" applyAlignment="1">
      <alignment horizontal="right"/>
    </xf>
    <xf numFmtId="0" fontId="39" fillId="26" borderId="6" xfId="0" applyFont="1" applyFill="1" applyBorder="1" applyAlignment="1">
      <alignment horizontal="center"/>
    </xf>
    <xf numFmtId="0" fontId="39" fillId="26" borderId="25" xfId="0" applyFont="1" applyFill="1" applyBorder="1" applyAlignment="1">
      <alignment horizontal="center"/>
    </xf>
    <xf numFmtId="0" fontId="39" fillId="26" borderId="9" xfId="0" applyFont="1" applyFill="1" applyBorder="1" applyAlignment="1">
      <alignment horizontal="center"/>
    </xf>
    <xf numFmtId="0" fontId="37" fillId="26" borderId="0" xfId="0" applyFont="1" applyFill="1" applyAlignment="1">
      <alignment horizontal="center" vertical="center" wrapText="1"/>
    </xf>
    <xf numFmtId="0" fontId="39" fillId="31" borderId="10" xfId="0" applyFont="1" applyFill="1" applyBorder="1" applyAlignment="1">
      <alignment horizontal="center"/>
    </xf>
    <xf numFmtId="0" fontId="39" fillId="31" borderId="10" xfId="0" applyFont="1" applyFill="1" applyBorder="1" applyAlignment="1">
      <alignment horizontal="center" wrapText="1"/>
    </xf>
    <xf numFmtId="0" fontId="39" fillId="31" borderId="7" xfId="0" applyFont="1" applyFill="1" applyBorder="1" applyAlignment="1">
      <alignment horizontal="center"/>
    </xf>
    <xf numFmtId="0" fontId="39" fillId="31" borderId="8" xfId="0" applyFont="1" applyFill="1" applyBorder="1" applyAlignment="1">
      <alignment horizontal="center"/>
    </xf>
    <xf numFmtId="0" fontId="39" fillId="31" borderId="11" xfId="0" applyFont="1" applyFill="1" applyBorder="1" applyAlignment="1">
      <alignment horizontal="center"/>
    </xf>
    <xf numFmtId="0" fontId="39" fillId="31" borderId="10" xfId="0" applyFont="1" applyFill="1" applyBorder="1" applyAlignment="1">
      <alignment horizontal="center" vertical="center"/>
    </xf>
    <xf numFmtId="0" fontId="39" fillId="26" borderId="2" xfId="0" applyFont="1" applyFill="1" applyBorder="1" applyAlignment="1">
      <alignment horizontal="center"/>
    </xf>
    <xf numFmtId="0" fontId="39" fillId="32" borderId="7" xfId="0" applyFont="1" applyFill="1" applyBorder="1" applyAlignment="1">
      <alignment horizontal="left"/>
    </xf>
    <xf numFmtId="0" fontId="39" fillId="32" borderId="8" xfId="0" applyFont="1" applyFill="1" applyBorder="1" applyAlignment="1">
      <alignment horizontal="left"/>
    </xf>
    <xf numFmtId="0" fontId="39" fillId="32" borderId="11" xfId="0" applyFont="1" applyFill="1" applyBorder="1" applyAlignment="1">
      <alignment horizontal="left"/>
    </xf>
    <xf numFmtId="0" fontId="39" fillId="27" borderId="10" xfId="0" applyFont="1" applyFill="1" applyBorder="1" applyAlignment="1">
      <alignment horizontal="right"/>
    </xf>
    <xf numFmtId="0" fontId="38" fillId="27" borderId="10" xfId="0" applyFont="1" applyFill="1" applyBorder="1" applyAlignment="1">
      <alignment horizontal="right"/>
    </xf>
    <xf numFmtId="0" fontId="41" fillId="26" borderId="7" xfId="0" applyFont="1" applyFill="1" applyBorder="1" applyAlignment="1">
      <alignment horizontal="left" vertical="center" wrapText="1"/>
    </xf>
    <xf numFmtId="0" fontId="41" fillId="26" borderId="11" xfId="0" applyFont="1" applyFill="1" applyBorder="1" applyAlignment="1">
      <alignment horizontal="left" vertical="center" wrapText="1"/>
    </xf>
    <xf numFmtId="0" fontId="42" fillId="32" borderId="10" xfId="0" applyFont="1" applyFill="1" applyBorder="1" applyAlignment="1">
      <alignment horizontal="left"/>
    </xf>
    <xf numFmtId="0" fontId="41" fillId="26" borderId="7" xfId="0" applyFont="1" applyFill="1" applyBorder="1" applyAlignment="1">
      <alignment horizontal="left"/>
    </xf>
    <xf numFmtId="0" fontId="41" fillId="26" borderId="11" xfId="0" applyFont="1" applyFill="1" applyBorder="1" applyAlignment="1">
      <alignment horizontal="left"/>
    </xf>
    <xf numFmtId="0" fontId="38" fillId="26" borderId="10" xfId="0" quotePrefix="1" applyFont="1" applyFill="1" applyBorder="1" applyAlignment="1">
      <alignment horizontal="center" vertical="center"/>
    </xf>
    <xf numFmtId="0" fontId="38" fillId="26" borderId="10" xfId="0" applyFont="1" applyFill="1" applyBorder="1" applyAlignment="1">
      <alignment horizontal="left" vertical="center"/>
    </xf>
    <xf numFmtId="0" fontId="55" fillId="26" borderId="10" xfId="83" applyFill="1" applyBorder="1" applyAlignment="1">
      <alignment horizontal="left"/>
    </xf>
    <xf numFmtId="0" fontId="38" fillId="26" borderId="10" xfId="0" applyFont="1" applyFill="1" applyBorder="1" applyAlignment="1">
      <alignment horizontal="left"/>
    </xf>
    <xf numFmtId="0" fontId="39" fillId="31" borderId="6" xfId="0" applyFont="1" applyFill="1" applyBorder="1" applyAlignment="1">
      <alignment horizontal="center" vertical="center"/>
    </xf>
    <xf numFmtId="0" fontId="39" fillId="31" borderId="9" xfId="0" applyFont="1" applyFill="1" applyBorder="1" applyAlignment="1">
      <alignment horizontal="center" vertical="center"/>
    </xf>
    <xf numFmtId="0" fontId="39" fillId="31" borderId="24" xfId="0" applyFont="1" applyFill="1" applyBorder="1" applyAlignment="1">
      <alignment horizontal="center" vertical="center"/>
    </xf>
    <xf numFmtId="0" fontId="39" fillId="31" borderId="23" xfId="0" applyFont="1" applyFill="1" applyBorder="1" applyAlignment="1">
      <alignment horizontal="center" vertical="center"/>
    </xf>
    <xf numFmtId="0" fontId="37" fillId="26" borderId="0" xfId="0" applyFont="1" applyFill="1" applyAlignment="1">
      <alignment horizontal="center" wrapText="1"/>
    </xf>
    <xf numFmtId="0" fontId="37" fillId="26" borderId="5" xfId="0" applyFont="1" applyFill="1" applyBorder="1" applyAlignment="1">
      <alignment horizontal="center" wrapText="1"/>
    </xf>
    <xf numFmtId="0" fontId="39" fillId="32" borderId="7" xfId="0" quotePrefix="1" applyFont="1" applyFill="1" applyBorder="1" applyAlignment="1">
      <alignment horizontal="right" vertical="center"/>
    </xf>
    <xf numFmtId="0" fontId="39" fillId="32" borderId="8" xfId="0" quotePrefix="1" applyFont="1" applyFill="1" applyBorder="1" applyAlignment="1">
      <alignment horizontal="right" vertical="center"/>
    </xf>
    <xf numFmtId="0" fontId="39" fillId="32" borderId="11" xfId="0" quotePrefix="1" applyFont="1" applyFill="1" applyBorder="1" applyAlignment="1">
      <alignment horizontal="right" vertical="center"/>
    </xf>
    <xf numFmtId="0" fontId="38" fillId="26" borderId="6" xfId="0" quotePrefix="1" applyFont="1" applyFill="1" applyBorder="1" applyAlignment="1">
      <alignment horizontal="center" vertical="center"/>
    </xf>
    <xf numFmtId="0" fontId="38" fillId="26" borderId="25" xfId="0" quotePrefix="1" applyFont="1" applyFill="1" applyBorder="1" applyAlignment="1">
      <alignment horizontal="center" vertical="center"/>
    </xf>
    <xf numFmtId="0" fontId="38" fillId="26" borderId="9" xfId="0" quotePrefix="1" applyFont="1" applyFill="1" applyBorder="1" applyAlignment="1">
      <alignment horizontal="center" vertical="center"/>
    </xf>
    <xf numFmtId="0" fontId="38" fillId="26" borderId="0" xfId="0" quotePrefix="1" applyFont="1" applyFill="1" applyAlignment="1">
      <alignment horizontal="left" wrapText="1"/>
    </xf>
    <xf numFmtId="2" fontId="39" fillId="26" borderId="0" xfId="81" applyNumberFormat="1" applyFont="1" applyFill="1" applyBorder="1" applyAlignment="1">
      <alignment horizontal="center" vertical="center"/>
    </xf>
    <xf numFmtId="0" fontId="39" fillId="31" borderId="0" xfId="0" applyFont="1" applyFill="1" applyAlignment="1">
      <alignment horizontal="center" vertical="center"/>
    </xf>
    <xf numFmtId="0" fontId="55" fillId="32" borderId="7" xfId="83" applyFill="1" applyBorder="1" applyAlignment="1">
      <alignment horizontal="center"/>
    </xf>
    <xf numFmtId="0" fontId="55" fillId="32" borderId="8" xfId="83" applyFill="1" applyBorder="1" applyAlignment="1">
      <alignment horizontal="center"/>
    </xf>
    <xf numFmtId="0" fontId="55" fillId="32" borderId="11" xfId="83" applyFill="1" applyBorder="1" applyAlignment="1">
      <alignment horizontal="center"/>
    </xf>
    <xf numFmtId="0" fontId="38" fillId="26" borderId="6" xfId="0" applyFont="1" applyFill="1" applyBorder="1" applyAlignment="1">
      <alignment horizontal="left" vertical="center"/>
    </xf>
    <xf numFmtId="0" fontId="38" fillId="26" borderId="25" xfId="0" applyFont="1" applyFill="1" applyBorder="1" applyAlignment="1">
      <alignment horizontal="left" vertical="center"/>
    </xf>
    <xf numFmtId="0" fontId="38" fillId="26" borderId="9" xfId="0" applyFont="1" applyFill="1" applyBorder="1" applyAlignment="1">
      <alignment horizontal="left" vertical="center"/>
    </xf>
    <xf numFmtId="0" fontId="39" fillId="32" borderId="7" xfId="0" applyFont="1" applyFill="1" applyBorder="1" applyAlignment="1">
      <alignment horizontal="right" vertical="center"/>
    </xf>
    <xf numFmtId="0" fontId="39" fillId="32" borderId="11" xfId="0" applyFont="1" applyFill="1" applyBorder="1" applyAlignment="1">
      <alignment horizontal="right" vertical="center"/>
    </xf>
    <xf numFmtId="0" fontId="38" fillId="26" borderId="7" xfId="0" applyFont="1" applyFill="1" applyBorder="1" applyAlignment="1">
      <alignment horizontal="left"/>
    </xf>
    <xf numFmtId="0" fontId="38" fillId="26" borderId="11" xfId="0" applyFont="1" applyFill="1" applyBorder="1" applyAlignment="1">
      <alignment horizontal="left"/>
    </xf>
    <xf numFmtId="0" fontId="55" fillId="26" borderId="7" xfId="83" applyFill="1" applyBorder="1" applyAlignment="1">
      <alignment horizontal="left"/>
    </xf>
    <xf numFmtId="0" fontId="39" fillId="32" borderId="10" xfId="0" quotePrefix="1" applyFont="1" applyFill="1" applyBorder="1" applyAlignment="1">
      <alignment horizontal="right" vertical="center"/>
    </xf>
    <xf numFmtId="0" fontId="55" fillId="26" borderId="8" xfId="83" applyFill="1" applyBorder="1" applyAlignment="1">
      <alignment horizontal="left"/>
    </xf>
    <xf numFmtId="0" fontId="55" fillId="26" borderId="11" xfId="83" applyFill="1" applyBorder="1" applyAlignment="1">
      <alignment horizontal="left"/>
    </xf>
    <xf numFmtId="0" fontId="55" fillId="26" borderId="7" xfId="83" applyFill="1" applyBorder="1" applyAlignment="1">
      <alignment horizontal="center"/>
    </xf>
    <xf numFmtId="0" fontId="55" fillId="26" borderId="8" xfId="83" applyFill="1" applyBorder="1" applyAlignment="1">
      <alignment horizontal="center"/>
    </xf>
    <xf numFmtId="0" fontId="55" fillId="26" borderId="11" xfId="83" applyFill="1" applyBorder="1" applyAlignment="1">
      <alignment horizontal="center"/>
    </xf>
    <xf numFmtId="2" fontId="38" fillId="26" borderId="0" xfId="81" applyNumberFormat="1" applyFont="1" applyFill="1" applyBorder="1" applyAlignment="1">
      <alignment horizontal="center" vertical="center"/>
    </xf>
    <xf numFmtId="0" fontId="38" fillId="26" borderId="0" xfId="81" applyNumberFormat="1" applyFont="1" applyFill="1" applyBorder="1" applyAlignment="1">
      <alignment horizontal="center" vertical="center"/>
    </xf>
    <xf numFmtId="0" fontId="38" fillId="26" borderId="0" xfId="0" applyFont="1" applyFill="1" applyAlignment="1">
      <alignment horizontal="left" wrapText="1"/>
    </xf>
    <xf numFmtId="0" fontId="38" fillId="26" borderId="0" xfId="0" quotePrefix="1" applyFont="1" applyFill="1" applyAlignment="1">
      <alignment horizontal="left"/>
    </xf>
    <xf numFmtId="0" fontId="38" fillId="26" borderId="0" xfId="0" quotePrefix="1" applyFont="1" applyFill="1" applyAlignment="1">
      <alignment horizontal="left" vertical="top" wrapText="1"/>
    </xf>
    <xf numFmtId="0" fontId="38" fillId="26" borderId="0" xfId="0" quotePrefix="1" applyFont="1" applyFill="1" applyAlignment="1">
      <alignment horizontal="left" vertical="top"/>
    </xf>
    <xf numFmtId="0" fontId="41" fillId="26" borderId="0" xfId="0" applyFont="1" applyFill="1" applyAlignment="1">
      <alignment horizontal="left" vertical="center" wrapText="1"/>
    </xf>
    <xf numFmtId="0" fontId="42" fillId="26" borderId="0" xfId="0" applyFont="1" applyFill="1" applyAlignment="1">
      <alignment horizontal="left" vertical="center"/>
    </xf>
    <xf numFmtId="0" fontId="34" fillId="26" borderId="0" xfId="0" applyFont="1" applyFill="1" applyAlignment="1">
      <alignment horizontal="left" wrapText="1"/>
    </xf>
    <xf numFmtId="0" fontId="48" fillId="26" borderId="0" xfId="0" applyFont="1" applyFill="1" applyAlignment="1">
      <alignment horizontal="left" vertical="top" wrapText="1"/>
    </xf>
    <xf numFmtId="0" fontId="48" fillId="26" borderId="0" xfId="0" applyFont="1" applyFill="1" applyAlignment="1">
      <alignment horizontal="left" vertical="top"/>
    </xf>
    <xf numFmtId="0" fontId="38" fillId="26" borderId="0" xfId="0" applyFont="1" applyFill="1" applyAlignment="1">
      <alignment horizontal="left" vertical="center"/>
    </xf>
    <xf numFmtId="0" fontId="46" fillId="26" borderId="0" xfId="0" applyFont="1" applyFill="1" applyAlignment="1">
      <alignment horizontal="left" vertical="center" wrapText="1"/>
    </xf>
    <xf numFmtId="0" fontId="41" fillId="26" borderId="0" xfId="0" applyFont="1" applyFill="1" applyAlignment="1">
      <alignment horizontal="left" vertical="top" wrapText="1"/>
    </xf>
    <xf numFmtId="0" fontId="42" fillId="26" borderId="0" xfId="0" applyFont="1" applyFill="1" applyAlignment="1">
      <alignment horizontal="left" vertical="top" wrapText="1"/>
    </xf>
  </cellXfs>
  <cellStyles count="90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asd" xfId="28" xr:uid="{00000000-0005-0000-0000-000018000000}"/>
    <cellStyle name="Bad" xfId="29" xr:uid="{00000000-0005-0000-0000-000019000000}"/>
    <cellStyle name="Calculation" xfId="30" xr:uid="{00000000-0005-0000-0000-00001A000000}"/>
    <cellStyle name="Check Cell" xfId="31" xr:uid="{00000000-0005-0000-0000-00001B000000}"/>
    <cellStyle name="Comma 2" xfId="32" xr:uid="{00000000-0005-0000-0000-00001C000000}"/>
    <cellStyle name="Comma 2 2" xfId="63" xr:uid="{00000000-0005-0000-0000-00001D000000}"/>
    <cellStyle name="Euro" xfId="33" xr:uid="{00000000-0005-0000-0000-00001E000000}"/>
    <cellStyle name="Euro 2" xfId="64" xr:uid="{00000000-0005-0000-0000-00001F000000}"/>
    <cellStyle name="Explanatory Text" xfId="34" xr:uid="{00000000-0005-0000-0000-000020000000}"/>
    <cellStyle name="Good" xfId="35" xr:uid="{00000000-0005-0000-0000-000021000000}"/>
    <cellStyle name="Heading 1" xfId="36" xr:uid="{00000000-0005-0000-0000-000022000000}"/>
    <cellStyle name="Heading 2" xfId="37" xr:uid="{00000000-0005-0000-0000-000023000000}"/>
    <cellStyle name="Heading 3" xfId="38" xr:uid="{00000000-0005-0000-0000-000024000000}"/>
    <cellStyle name="Heading 4" xfId="39" xr:uid="{00000000-0005-0000-0000-000025000000}"/>
    <cellStyle name="Hiperlink" xfId="83" builtinId="8"/>
    <cellStyle name="Input" xfId="40" xr:uid="{00000000-0005-0000-0000-000026000000}"/>
    <cellStyle name="Linked Cell" xfId="41" xr:uid="{00000000-0005-0000-0000-000027000000}"/>
    <cellStyle name="Moeda" xfId="81" builtinId="4"/>
    <cellStyle name="Moeda 2" xfId="42" xr:uid="{00000000-0005-0000-0000-000029000000}"/>
    <cellStyle name="Moeda 2 2" xfId="89" xr:uid="{1B71D1F9-0432-45A0-9672-AD8D3DC155FD}"/>
    <cellStyle name="Moeda 3" xfId="85" xr:uid="{DD90FAA5-813C-496D-A2BC-D8D785C4857F}"/>
    <cellStyle name="Neutral" xfId="43" xr:uid="{00000000-0005-0000-0000-00002A000000}"/>
    <cellStyle name="Normal" xfId="0" builtinId="0"/>
    <cellStyle name="Normal 2" xfId="44" xr:uid="{00000000-0005-0000-0000-00002C000000}"/>
    <cellStyle name="Normal 2 2" xfId="87" xr:uid="{4A61F635-EEBE-4D2B-B0BB-7898D1A9547D}"/>
    <cellStyle name="Normal 3" xfId="3" xr:uid="{00000000-0005-0000-0000-00002D000000}"/>
    <cellStyle name="Normal 3 2" xfId="62" xr:uid="{00000000-0005-0000-0000-00002E000000}"/>
    <cellStyle name="Normal 4" xfId="56" xr:uid="{00000000-0005-0000-0000-00002F000000}"/>
    <cellStyle name="Normal 4 2" xfId="59" xr:uid="{00000000-0005-0000-0000-000030000000}"/>
    <cellStyle name="Normal 4 2 2" xfId="78" xr:uid="{00000000-0005-0000-0000-000031000000}"/>
    <cellStyle name="Normal 4 3" xfId="77" xr:uid="{00000000-0005-0000-0000-000032000000}"/>
    <cellStyle name="Normal 4 3 2" xfId="80" xr:uid="{00000000-0005-0000-0000-000033000000}"/>
    <cellStyle name="Normal 5" xfId="74" xr:uid="{00000000-0005-0000-0000-000034000000}"/>
    <cellStyle name="Normal 6" xfId="73" xr:uid="{00000000-0005-0000-0000-000035000000}"/>
    <cellStyle name="Normal 7" xfId="79" xr:uid="{00000000-0005-0000-0000-000036000000}"/>
    <cellStyle name="Normal 8" xfId="84" xr:uid="{F4AA4757-489C-432C-9C1A-720AF72F2515}"/>
    <cellStyle name="Normal 9" xfId="88" xr:uid="{FDDDFDF9-92B1-413A-BE03-7037CAE6FA67}"/>
    <cellStyle name="Note" xfId="45" xr:uid="{00000000-0005-0000-0000-000037000000}"/>
    <cellStyle name="Note 2" xfId="65" xr:uid="{00000000-0005-0000-0000-000038000000}"/>
    <cellStyle name="Output" xfId="46" xr:uid="{00000000-0005-0000-0000-000039000000}"/>
    <cellStyle name="Percent 2" xfId="47" xr:uid="{00000000-0005-0000-0000-00003A000000}"/>
    <cellStyle name="Percent 2 2" xfId="66" xr:uid="{00000000-0005-0000-0000-00003B000000}"/>
    <cellStyle name="Porcentagem" xfId="82" builtinId="5"/>
    <cellStyle name="Porcentagem 2" xfId="48" xr:uid="{00000000-0005-0000-0000-00003D000000}"/>
    <cellStyle name="Porcentagem 2 2" xfId="49" xr:uid="{00000000-0005-0000-0000-00003E000000}"/>
    <cellStyle name="Porcentagem 2 2 2" xfId="68" xr:uid="{00000000-0005-0000-0000-00003F000000}"/>
    <cellStyle name="Porcentagem 2 3" xfId="67" xr:uid="{00000000-0005-0000-0000-000040000000}"/>
    <cellStyle name="Porcentagem 3" xfId="86" xr:uid="{10C2B246-5178-42EF-B003-3183100B487B}"/>
    <cellStyle name="Separador de milhares 2" xfId="2" xr:uid="{00000000-0005-0000-0000-000041000000}"/>
    <cellStyle name="Separador de milhares 2 2" xfId="61" xr:uid="{00000000-0005-0000-0000-000042000000}"/>
    <cellStyle name="Separador de milhares 2 3" xfId="76" xr:uid="{00000000-0005-0000-0000-000043000000}"/>
    <cellStyle name="Separador de milhares 3" xfId="50" xr:uid="{00000000-0005-0000-0000-000044000000}"/>
    <cellStyle name="Separador de milhares 3 2" xfId="69" xr:uid="{00000000-0005-0000-0000-000045000000}"/>
    <cellStyle name="Separador de milhares 6" xfId="57" xr:uid="{00000000-0005-0000-0000-000046000000}"/>
    <cellStyle name="Separador de milhares 6 2" xfId="71" xr:uid="{00000000-0005-0000-0000-000047000000}"/>
    <cellStyle name="Title" xfId="51" xr:uid="{00000000-0005-0000-0000-000048000000}"/>
    <cellStyle name="Título 1 1" xfId="52" xr:uid="{00000000-0005-0000-0000-000049000000}"/>
    <cellStyle name="Título 1 1 1" xfId="53" xr:uid="{00000000-0005-0000-0000-00004A000000}"/>
    <cellStyle name="Vírgula" xfId="1" builtinId="3"/>
    <cellStyle name="Vírgula 2" xfId="55" xr:uid="{00000000-0005-0000-0000-00004C000000}"/>
    <cellStyle name="Vírgula 2 2" xfId="70" xr:uid="{00000000-0005-0000-0000-00004D000000}"/>
    <cellStyle name="Vírgula 3" xfId="58" xr:uid="{00000000-0005-0000-0000-00004E000000}"/>
    <cellStyle name="Vírgula 3 2" xfId="72" xr:uid="{00000000-0005-0000-0000-00004F000000}"/>
    <cellStyle name="Vírgula 4" xfId="60" xr:uid="{00000000-0005-0000-0000-000050000000}"/>
    <cellStyle name="Vírgula 5" xfId="75" xr:uid="{00000000-0005-0000-0000-000051000000}"/>
    <cellStyle name="Warning Text" xfId="54" xr:uid="{00000000-0005-0000-0000-000052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FFCC"/>
      <color rgb="FFFFCC99"/>
      <color rgb="FFCCECFF"/>
      <color rgb="FFF2F2F2"/>
      <color rgb="FF99CCFF"/>
      <color rgb="FFFFFF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25</xdr:row>
      <xdr:rowOff>114300</xdr:rowOff>
    </xdr:to>
    <xdr:sp macro="" textlink="">
      <xdr:nvSpPr>
        <xdr:cNvPr id="53249" name="AutoShape 1" descr="LOGO DE Prefeitura de Marataízes - ES">
          <a:extLst>
            <a:ext uri="{FF2B5EF4-FFF2-40B4-BE49-F238E27FC236}">
              <a16:creationId xmlns:a16="http://schemas.microsoft.com/office/drawing/2014/main" id="{21EDF839-BD64-7BDE-92C2-F91C8EF6DC5B}"/>
            </a:ext>
          </a:extLst>
        </xdr:cNvPr>
        <xdr:cNvSpPr>
          <a:spLocks noChangeAspect="1" noChangeArrowheads="1"/>
        </xdr:cNvSpPr>
      </xdr:nvSpPr>
      <xdr:spPr bwMode="auto">
        <a:xfrm>
          <a:off x="1325880" y="4861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60960</xdr:rowOff>
    </xdr:from>
    <xdr:to>
      <xdr:col>2</xdr:col>
      <xdr:colOff>1230</xdr:colOff>
      <xdr:row>4</xdr:row>
      <xdr:rowOff>168370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52BA451-3CED-4B60-9AEF-4ED86C339A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45720" y="6096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53340</xdr:rowOff>
    </xdr:from>
    <xdr:to>
      <xdr:col>1</xdr:col>
      <xdr:colOff>530820</xdr:colOff>
      <xdr:row>4</xdr:row>
      <xdr:rowOff>172180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818EF70-B21E-435F-A8D4-1D1EA5BE4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53340" y="5334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60960</xdr:rowOff>
    </xdr:from>
    <xdr:to>
      <xdr:col>0</xdr:col>
      <xdr:colOff>927060</xdr:colOff>
      <xdr:row>4</xdr:row>
      <xdr:rowOff>175990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35BC14-E5B5-4834-BEC8-266D90DFE4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99060" y="6096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53340</xdr:rowOff>
    </xdr:from>
    <xdr:to>
      <xdr:col>1</xdr:col>
      <xdr:colOff>576540</xdr:colOff>
      <xdr:row>4</xdr:row>
      <xdr:rowOff>168370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F19334-EDAF-4E12-932B-AD6732F05A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99060" y="5334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53340</xdr:rowOff>
    </xdr:from>
    <xdr:to>
      <xdr:col>1</xdr:col>
      <xdr:colOff>561300</xdr:colOff>
      <xdr:row>4</xdr:row>
      <xdr:rowOff>168370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F2A646-D5A8-4EAA-BAD2-80DB048CD6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83820" y="5334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45720</xdr:rowOff>
    </xdr:from>
    <xdr:to>
      <xdr:col>0</xdr:col>
      <xdr:colOff>854670</xdr:colOff>
      <xdr:row>4</xdr:row>
      <xdr:rowOff>162655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953FCD1-FEC1-4BDD-89B5-F057B2B18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30480" y="4572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866100</xdr:colOff>
      <xdr:row>4</xdr:row>
      <xdr:rowOff>153130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8A3602-AAB5-4E08-963E-73A60D148F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38100" y="3810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20280</xdr:colOff>
      <xdr:row>4</xdr:row>
      <xdr:rowOff>153130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D86ABD2-629A-4E80-BD47-67AE377BC4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0" y="3810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53340</xdr:rowOff>
    </xdr:from>
    <xdr:to>
      <xdr:col>1</xdr:col>
      <xdr:colOff>27900</xdr:colOff>
      <xdr:row>4</xdr:row>
      <xdr:rowOff>168370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E3D835F-34DA-4B08-840A-DD4D8FDB20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0" y="5334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144780</xdr:rowOff>
    </xdr:from>
    <xdr:to>
      <xdr:col>0</xdr:col>
      <xdr:colOff>866100</xdr:colOff>
      <xdr:row>3</xdr:row>
      <xdr:rowOff>343630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60B9BC0-A90D-41B3-A7B7-E5E1BB1C58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38100" y="14478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53340</xdr:rowOff>
    </xdr:from>
    <xdr:to>
      <xdr:col>1</xdr:col>
      <xdr:colOff>422235</xdr:colOff>
      <xdr:row>4</xdr:row>
      <xdr:rowOff>174085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D351312-AAED-48F6-A405-0828F508D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167640" y="5334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53340</xdr:rowOff>
    </xdr:from>
    <xdr:to>
      <xdr:col>1</xdr:col>
      <xdr:colOff>43140</xdr:colOff>
      <xdr:row>4</xdr:row>
      <xdr:rowOff>168370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D63F18E-498F-441F-8B9A-E83597F01C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7620" y="5334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53340</xdr:rowOff>
    </xdr:from>
    <xdr:to>
      <xdr:col>1</xdr:col>
      <xdr:colOff>43140</xdr:colOff>
      <xdr:row>4</xdr:row>
      <xdr:rowOff>168370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1AA3300-362F-41D9-B016-FCDDCE98D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7620" y="5334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53340</xdr:rowOff>
    </xdr:from>
    <xdr:to>
      <xdr:col>1</xdr:col>
      <xdr:colOff>12660</xdr:colOff>
      <xdr:row>4</xdr:row>
      <xdr:rowOff>168370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354107-19B8-42BC-A648-39AE821BB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0" y="5334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45720</xdr:rowOff>
    </xdr:from>
    <xdr:to>
      <xdr:col>1</xdr:col>
      <xdr:colOff>20280</xdr:colOff>
      <xdr:row>4</xdr:row>
      <xdr:rowOff>160750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3BD9C51-9850-4F6B-9BAC-A5C558D757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0" y="4572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60960</xdr:rowOff>
    </xdr:from>
    <xdr:to>
      <xdr:col>1</xdr:col>
      <xdr:colOff>43140</xdr:colOff>
      <xdr:row>4</xdr:row>
      <xdr:rowOff>175990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1B64CD9-C3DD-4F7D-856E-3FC1353A67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0" y="6096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53340</xdr:rowOff>
    </xdr:from>
    <xdr:to>
      <xdr:col>1</xdr:col>
      <xdr:colOff>5040</xdr:colOff>
      <xdr:row>4</xdr:row>
      <xdr:rowOff>168370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5B5582-53D1-4E90-9006-EEA0F6E2F9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30480" y="5334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53340</xdr:rowOff>
    </xdr:from>
    <xdr:to>
      <xdr:col>1</xdr:col>
      <xdr:colOff>5040</xdr:colOff>
      <xdr:row>4</xdr:row>
      <xdr:rowOff>168370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0EAA74-3B80-4887-881F-2822FC5BEE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45720" y="5334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106680</xdr:rowOff>
    </xdr:from>
    <xdr:to>
      <xdr:col>0</xdr:col>
      <xdr:colOff>858480</xdr:colOff>
      <xdr:row>3</xdr:row>
      <xdr:rowOff>305530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D188E77-17C6-4DD1-8375-14778C276A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30480" y="10668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53340</xdr:rowOff>
    </xdr:from>
    <xdr:to>
      <xdr:col>1</xdr:col>
      <xdr:colOff>27901</xdr:colOff>
      <xdr:row>4</xdr:row>
      <xdr:rowOff>168370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397BED-4C2A-3058-2C01-27DC415601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38101" y="5334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253365</xdr:colOff>
      <xdr:row>13</xdr:row>
      <xdr:rowOff>116205</xdr:rowOff>
    </xdr:from>
    <xdr:ext cx="2304541" cy="3181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513EC34-B97D-4BD4-A236-50AA732073B3}"/>
                </a:ext>
              </a:extLst>
            </xdr:cNvPr>
            <xdr:cNvSpPr txBox="1"/>
          </xdr:nvSpPr>
          <xdr:spPr>
            <a:xfrm>
              <a:off x="1748790" y="3011805"/>
              <a:ext cx="2304541" cy="318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𝐾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4</m:t>
                        </m:r>
                      </m:sub>
                    </m:sSub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1−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𝐼𝑆𝑆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𝑃𝐼𝑆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𝐶𝑂𝑁𝐹𝐼𝑁𝑆</m:t>
                        </m:r>
                      </m:den>
                    </m:f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−1</m:t>
                    </m:r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513EC34-B97D-4BD4-A236-50AA732073B3}"/>
                </a:ext>
              </a:extLst>
            </xdr:cNvPr>
            <xdr:cNvSpPr txBox="1"/>
          </xdr:nvSpPr>
          <xdr:spPr>
            <a:xfrm>
              <a:off x="1748790" y="3011805"/>
              <a:ext cx="2304541" cy="318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𝐾_4=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1/(1−𝐼𝑆𝑆−𝑃𝐼𝑆−𝐶𝑂𝑁𝐹𝐼𝑁𝑆)−1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2</xdr:col>
      <xdr:colOff>30480</xdr:colOff>
      <xdr:row>14</xdr:row>
      <xdr:rowOff>24765</xdr:rowOff>
    </xdr:from>
    <xdr:ext cx="251062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43D36795-DB0F-4827-BC81-9D6C0458D4FC}"/>
                </a:ext>
              </a:extLst>
            </xdr:cNvPr>
            <xdr:cNvSpPr txBox="1"/>
          </xdr:nvSpPr>
          <xdr:spPr>
            <a:xfrm>
              <a:off x="1525905" y="3549015"/>
              <a:ext cx="251062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𝐾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1+</m:t>
                        </m:r>
                        <m:sSub>
                          <m:sSub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𝐾</m:t>
                            </m:r>
                          </m:e>
                          <m:sub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𝐾</m:t>
                            </m:r>
                          </m:e>
                          <m:sub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e>
                    </m:d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d>
                      <m:dPr>
                        <m:ctrlP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sSub>
                          <m:sSubPr>
                            <m:ctrlP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𝐾</m:t>
                            </m:r>
                          </m:e>
                          <m:sub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e>
                    </m:d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d>
                      <m:dPr>
                        <m:ctrlP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sSub>
                          <m:sSubPr>
                            <m:ctrlP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𝐾</m:t>
                            </m:r>
                          </m:e>
                          <m:sub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4</m:t>
                            </m:r>
                          </m:sub>
                        </m:sSub>
                      </m:e>
                    </m:d>
                  </m:oMath>
                </m:oMathPara>
              </a14:m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43D36795-DB0F-4827-BC81-9D6C0458D4FC}"/>
                </a:ext>
              </a:extLst>
            </xdr:cNvPr>
            <xdr:cNvSpPr txBox="1"/>
          </xdr:nvSpPr>
          <xdr:spPr>
            <a:xfrm>
              <a:off x="1525905" y="3549015"/>
              <a:ext cx="251062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𝐾=(1+𝐾_1+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𝐾_2 )×(1+𝐾_3 )×(1+𝐾_4 )</a:t>
              </a:r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2</xdr:col>
      <xdr:colOff>5715</xdr:colOff>
      <xdr:row>14</xdr:row>
      <xdr:rowOff>211455</xdr:rowOff>
    </xdr:from>
    <xdr:ext cx="163108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CFAFE2B-1186-42ED-8242-C944654454D6}"/>
                </a:ext>
              </a:extLst>
            </xdr:cNvPr>
            <xdr:cNvSpPr txBox="1"/>
          </xdr:nvSpPr>
          <xdr:spPr>
            <a:xfrm>
              <a:off x="1501140" y="3735705"/>
              <a:ext cx="163108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pt-BR" sz="1100" b="0" i="0">
                            <a:latin typeface="Cambria Math" panose="02040503050406030204" pitchFamily="18" charset="0"/>
                          </a:rPr>
                          <m:t>K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𝑅</m:t>
                        </m:r>
                      </m:sub>
                    </m:sSub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sSub>
                          <m:sSubPr>
                            <m:ctrlP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𝐾</m:t>
                            </m:r>
                          </m:e>
                          <m:sub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3</m:t>
                            </m:r>
                          </m:sub>
                        </m:sSub>
                      </m:e>
                    </m:d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d>
                      <m:dPr>
                        <m:ctrlP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sSub>
                          <m:sSubPr>
                            <m:ctrlP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𝐾</m:t>
                            </m:r>
                          </m:e>
                          <m:sub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4</m:t>
                            </m:r>
                          </m:sub>
                        </m:sSub>
                      </m:e>
                    </m:d>
                  </m:oMath>
                </m:oMathPara>
              </a14:m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CFAFE2B-1186-42ED-8242-C944654454D6}"/>
                </a:ext>
              </a:extLst>
            </xdr:cNvPr>
            <xdr:cNvSpPr txBox="1"/>
          </xdr:nvSpPr>
          <xdr:spPr>
            <a:xfrm>
              <a:off x="1501140" y="3735705"/>
              <a:ext cx="163108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K_𝑅=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(1+𝐾_3 )×(1+𝐾_4 )</a:t>
              </a:r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2</xdr:col>
      <xdr:colOff>9525</xdr:colOff>
      <xdr:row>14</xdr:row>
      <xdr:rowOff>409575</xdr:rowOff>
    </xdr:from>
    <xdr:ext cx="180812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AD9BF0EA-1B6F-4B09-B79D-200588799F84}"/>
                </a:ext>
              </a:extLst>
            </xdr:cNvPr>
            <xdr:cNvSpPr txBox="1"/>
          </xdr:nvSpPr>
          <xdr:spPr>
            <a:xfrm>
              <a:off x="1504950" y="3933825"/>
              <a:ext cx="180812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𝑃𝑉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𝐶𝐷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e>
                    </m:d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𝐷𝐷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sSub>
                          <m:sSubPr>
                            <m:ctrlP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𝐾</m:t>
                            </m:r>
                          </m:e>
                          <m:sub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</m:t>
                            </m:r>
                          </m:sub>
                        </m:sSub>
                      </m:e>
                    </m:d>
                  </m:oMath>
                </m:oMathPara>
              </a14:m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AD9BF0EA-1B6F-4B09-B79D-200588799F84}"/>
                </a:ext>
              </a:extLst>
            </xdr:cNvPr>
            <xdr:cNvSpPr txBox="1"/>
          </xdr:nvSpPr>
          <xdr:spPr>
            <a:xfrm>
              <a:off x="1504950" y="3933825"/>
              <a:ext cx="180812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𝑃𝑉=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(𝐶𝐷×𝐾 )+(𝐷𝐷×𝐾_𝑅 )</a:t>
              </a:r>
              <a:endParaRPr lang="pt-BR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 editAs="oneCell">
    <xdr:from>
      <xdr:col>5</xdr:col>
      <xdr:colOff>209551</xdr:colOff>
      <xdr:row>11</xdr:row>
      <xdr:rowOff>49530</xdr:rowOff>
    </xdr:from>
    <xdr:to>
      <xdr:col>8</xdr:col>
      <xdr:colOff>1025406</xdr:colOff>
      <xdr:row>13</xdr:row>
      <xdr:rowOff>460259</xdr:rowOff>
    </xdr:to>
    <xdr:pic>
      <xdr:nvPicPr>
        <xdr:cNvPr id="7" name="Imagem 6" descr="Tabela&#10;&#10;Descrição gerada automaticamente">
          <a:extLst>
            <a:ext uri="{FF2B5EF4-FFF2-40B4-BE49-F238E27FC236}">
              <a16:creationId xmlns:a16="http://schemas.microsoft.com/office/drawing/2014/main" id="{AD12B3B1-B001-427C-A66C-CB5B546B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5426" y="2516505"/>
          <a:ext cx="3848615" cy="839354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0</xdr:row>
      <xdr:rowOff>102871</xdr:rowOff>
    </xdr:from>
    <xdr:to>
      <xdr:col>8</xdr:col>
      <xdr:colOff>1026772</xdr:colOff>
      <xdr:row>11</xdr:row>
      <xdr:rowOff>97156</xdr:rowOff>
    </xdr:to>
    <xdr:pic>
      <xdr:nvPicPr>
        <xdr:cNvPr id="8" name="Imagem 7" descr="Texto&#10;&#10;Descrição gerada automaticamente">
          <a:extLst>
            <a:ext uri="{FF2B5EF4-FFF2-40B4-BE49-F238E27FC236}">
              <a16:creationId xmlns:a16="http://schemas.microsoft.com/office/drawing/2014/main" id="{796134B3-2E48-4A41-9A65-64305A0E3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5900" y="102871"/>
          <a:ext cx="3859507" cy="2392680"/>
        </a:xfrm>
        <a:prstGeom prst="rect">
          <a:avLst/>
        </a:prstGeom>
      </xdr:spPr>
    </xdr:pic>
    <xdr:clientData/>
  </xdr:twoCellAnchor>
  <xdr:twoCellAnchor editAs="oneCell">
    <xdr:from>
      <xdr:col>5</xdr:col>
      <xdr:colOff>207646</xdr:colOff>
      <xdr:row>13</xdr:row>
      <xdr:rowOff>497205</xdr:rowOff>
    </xdr:from>
    <xdr:to>
      <xdr:col>8</xdr:col>
      <xdr:colOff>1028969</xdr:colOff>
      <xdr:row>15</xdr:row>
      <xdr:rowOff>53893</xdr:rowOff>
    </xdr:to>
    <xdr:pic>
      <xdr:nvPicPr>
        <xdr:cNvPr id="9" name="Imagem 8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966CFE9C-70EC-4700-9004-C22572692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03521" y="3392805"/>
          <a:ext cx="3848368" cy="775888"/>
        </a:xfrm>
        <a:prstGeom prst="rect">
          <a:avLst/>
        </a:prstGeom>
      </xdr:spPr>
    </xdr:pic>
    <xdr:clientData/>
  </xdr:twoCellAnchor>
  <xdr:twoCellAnchor editAs="oneCell">
    <xdr:from>
      <xdr:col>5</xdr:col>
      <xdr:colOff>207645</xdr:colOff>
      <xdr:row>15</xdr:row>
      <xdr:rowOff>75242</xdr:rowOff>
    </xdr:from>
    <xdr:to>
      <xdr:col>8</xdr:col>
      <xdr:colOff>1025888</xdr:colOff>
      <xdr:row>18</xdr:row>
      <xdr:rowOff>150495</xdr:rowOff>
    </xdr:to>
    <xdr:pic>
      <xdr:nvPicPr>
        <xdr:cNvPr id="10" name="Imagem 9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5EC0B0F7-5008-4741-9EDA-31A4BDD18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03520" y="4199567"/>
          <a:ext cx="3851003" cy="675328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0</xdr:row>
      <xdr:rowOff>68580</xdr:rowOff>
    </xdr:from>
    <xdr:to>
      <xdr:col>1</xdr:col>
      <xdr:colOff>437475</xdr:colOff>
      <xdr:row>3</xdr:row>
      <xdr:rowOff>92170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8DE6D90-DA03-4F1C-8785-673E6BCCE0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91440" y="6858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53340</xdr:rowOff>
    </xdr:from>
    <xdr:to>
      <xdr:col>1</xdr:col>
      <xdr:colOff>607020</xdr:colOff>
      <xdr:row>4</xdr:row>
      <xdr:rowOff>172180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BC1386-BC80-4F86-9E45-00A653BA2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129540" y="5334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53340</xdr:rowOff>
    </xdr:from>
    <xdr:to>
      <xdr:col>1</xdr:col>
      <xdr:colOff>378420</xdr:colOff>
      <xdr:row>4</xdr:row>
      <xdr:rowOff>172180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2AF91E-1EC8-4215-B79C-F8E4FF906E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228600" y="5334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38100</xdr:rowOff>
    </xdr:from>
    <xdr:to>
      <xdr:col>1</xdr:col>
      <xdr:colOff>363180</xdr:colOff>
      <xdr:row>4</xdr:row>
      <xdr:rowOff>153130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A78DD4-F02D-43EC-9678-0B471CE668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182880" y="3810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45720</xdr:rowOff>
    </xdr:from>
    <xdr:to>
      <xdr:col>1</xdr:col>
      <xdr:colOff>363180</xdr:colOff>
      <xdr:row>4</xdr:row>
      <xdr:rowOff>172180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AF556E-60BD-4895-8AAB-F92861278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190500" y="4572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38100</xdr:rowOff>
    </xdr:from>
    <xdr:to>
      <xdr:col>1</xdr:col>
      <xdr:colOff>346035</xdr:colOff>
      <xdr:row>4</xdr:row>
      <xdr:rowOff>153130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0AE094B-AAD6-43EB-9722-2B61BC1235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167640" y="3810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60960</xdr:rowOff>
    </xdr:from>
    <xdr:to>
      <xdr:col>1</xdr:col>
      <xdr:colOff>530820</xdr:colOff>
      <xdr:row>4</xdr:row>
      <xdr:rowOff>168370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004301-F18D-403F-A2F7-1393041A63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267"/>
        <a:stretch>
          <a:fillRect/>
        </a:stretch>
      </xdr:blipFill>
      <xdr:spPr bwMode="auto">
        <a:xfrm>
          <a:off x="53340" y="60960"/>
          <a:ext cx="828000" cy="79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ell.com/pt-br/shop/computadores-all-in-ones-e-workstations/optiplex-small-desktop/spd/optiplex-7010-small-ff/cto02o7010sffbcc_on_1?redirectTo=SOC" TargetMode="External"/><Relationship Id="rId18" Type="http://schemas.openxmlformats.org/officeDocument/2006/relationships/hyperlink" Target="https://produto.mercadolivre.com.br/MLB-3577585480-monitor-dell-22-widescreen-se2216h-vga-hdmi-full-hd-led-_JM?searchVariation=178045365665" TargetMode="External"/><Relationship Id="rId26" Type="http://schemas.openxmlformats.org/officeDocument/2006/relationships/hyperlink" Target="https://www.magazineluiza.com.br/mesa-de-escritorio-em-l-2-gavetas-3-portas-office-nt-2005-notavel-moveis/p/jd24c0f06k/mo/mses/" TargetMode="External"/><Relationship Id="rId21" Type="http://schemas.openxmlformats.org/officeDocument/2006/relationships/hyperlink" Target="https://www.leroymerlin.com.br/armario-multiuso-atenas-2-portas-branco-panorama-moveis_1570345864?region=outros" TargetMode="External"/><Relationship Id="rId34" Type="http://schemas.openxmlformats.org/officeDocument/2006/relationships/hyperlink" Target="https://www.zapimoveis.com.br/imovel/aluguel-conjunto-comercial-sala-santa-lucia-vitoria-es-39m2-id-2723104036/?utm_source=email&amp;utm_medium=transactional&amp;utm_campaign=confirmacaodeleads_em_tr_bg_ld_ao_cr_re_zp_cr&amp;utm_source_platform=salesforce" TargetMode="External"/><Relationship Id="rId7" Type="http://schemas.openxmlformats.org/officeDocument/2006/relationships/hyperlink" Target="https://www.casasbahia.com.br/telefonesecelulares/telefoniafixa/telefonescomfio/telefone-com-fio-intelbras-pleno-3041.html" TargetMode="External"/><Relationship Id="rId12" Type="http://schemas.openxmlformats.org/officeDocument/2006/relationships/hyperlink" Target="https://www.hp.com/br-pt/shop/prodesk-hp-400-g9-mini-72s94la.html?facetref=2af2b8d586714bf0" TargetMode="External"/><Relationship Id="rId17" Type="http://schemas.openxmlformats.org/officeDocument/2006/relationships/hyperlink" Target="https://www.mercadolivre.com.br/monitor-dell-215-se2222h-cor-preto-100v240v/p/MLB20796829" TargetMode="External"/><Relationship Id="rId25" Type="http://schemas.openxmlformats.org/officeDocument/2006/relationships/hyperlink" Target="https://www.mercadolivre.com.br/cadeira-de-escritorio-tander-tce11-ergonmica-preta-con-estofado-do-mesh/p/MLB10981125" TargetMode="External"/><Relationship Id="rId33" Type="http://schemas.openxmlformats.org/officeDocument/2006/relationships/hyperlink" Target="https://www.zapimoveis.com.br/imovel/aluguel-conjunto-comercial-sala-santa-lucia-vitoria-es-30m2-id-2723181950/?utm_source=email&amp;utm_medium=transactional&amp;utm_campaign=confirmacaodeleads_em_tr_bg_ld_ao_cr_re_zp_cr&amp;utm_source_platform=salesforce" TargetMode="External"/><Relationship Id="rId38" Type="http://schemas.openxmlformats.org/officeDocument/2006/relationships/drawing" Target="../drawings/drawing9.xml"/><Relationship Id="rId2" Type="http://schemas.openxmlformats.org/officeDocument/2006/relationships/hyperlink" Target="https://www.magazineluiza.com.br/projetor-epson-powerlite-e20-xga-portatil-3400-lumens-3lcd-hdmi-branco/p/230187900/et/eapj/?&amp;=&amp;seller_id=magazineluiza&amp;utm_source=google&amp;utm_medium=pla&amp;utm_campaign=&amp;partner_id=58953&amp;gclid=Cj0KCQjw5oiMBhDtARIsAJi0qk0X3umKb9mGCAzbXBXs1Bx8y1VjmXWd35pG4JsPKEQb14Fs3FIyuEQaAnWXEALw_wcB&amp;gclsrc=aw.ds" TargetMode="External"/><Relationship Id="rId16" Type="http://schemas.openxmlformats.org/officeDocument/2006/relationships/hyperlink" Target="https://www.microsoft.com/pt-br/microsoft-365/p/microsoft-365-personal/cfq7ttc0k5bf?icid=Office-Student-to-Personal-06072019&amp;activetab=pivot:overviewtab" TargetMode="External"/><Relationship Id="rId20" Type="http://schemas.openxmlformats.org/officeDocument/2006/relationships/hyperlink" Target="https://www.leroymerlin.com.br/armario-multiuso-2-portas-dakar-yescasa-preto_1571708132" TargetMode="External"/><Relationship Id="rId29" Type="http://schemas.openxmlformats.org/officeDocument/2006/relationships/hyperlink" Target="https://www.zapimoveis.com.br/imovel/aluguel-conjunto-comercial-sala-mata-da-praia-vitoria-es-48m2-id-2652674711/" TargetMode="External"/><Relationship Id="rId1" Type="http://schemas.openxmlformats.org/officeDocument/2006/relationships/hyperlink" Target="https://www.amazon.com.br/Projetor-Powerlite-L%C3%BAmens-Branco-Bivolt/dp/B087271SYH/ref=asc_df_B087271SYH/?tag=googleshopp00-20&amp;linkCode=df0&amp;hvadid=379799240111&amp;hvpos=&amp;hvnetw=g&amp;hvrand=6527003303152008811&amp;hvpone=&amp;hvptwo=&amp;hvqmt=&amp;hvdev=c&amp;hvdvcmdl=&amp;hvlocint=&amp;hvlocphy=1001547&amp;hvtargid=pla-982292920263&amp;psc=1" TargetMode="External"/><Relationship Id="rId6" Type="http://schemas.openxmlformats.org/officeDocument/2006/relationships/hyperlink" Target="https://www.magazineluiza.com.br/telefone-fixo-pleno-com-fio-preto-intelbras/p/cc48bc85f1/tf/tfra/?seller_id=compreshop&amp;srsltid=AfmBOop-dqPJX8vzzTq_jDlfp8nzdl2p_blk4lHHN68T6GR8NADt-3WLKz4" TargetMode="External"/><Relationship Id="rId11" Type="http://schemas.openxmlformats.org/officeDocument/2006/relationships/hyperlink" Target="https://www.dell.com/pt-br/shop/computadores-all-in-ones-e-workstations/desktop-optiplex-micro/spd/optiplex-7010-micro/cto02o7010mffbcc_on_5?redirectTo=SOC" TargetMode="External"/><Relationship Id="rId24" Type="http://schemas.openxmlformats.org/officeDocument/2006/relationships/hyperlink" Target="https://produto.mercadolivre.com.br/MLB-2757449370-cadeira-de-escritorio-ergonmica-preta-com-estofado-de-mesh-_JM?matt_tool=18956390&amp;utm_source=google_shopping&amp;utm_medium=organic" TargetMode="External"/><Relationship Id="rId32" Type="http://schemas.openxmlformats.org/officeDocument/2006/relationships/hyperlink" Target="https://www.zapimoveis.com.br/imovel/aluguel-conjunto-comercial-sala-santa-lucia-vitoria-es-30m2-id-2723181950/?utm_source=email&amp;utm_medium=transactional&amp;utm_campaign=confirmacaodeleads_em_tr_bg_ld_ao_cr_re_zp_cr&amp;utm_source_platform=salesforce" TargetMode="External"/><Relationship Id="rId37" Type="http://schemas.openxmlformats.org/officeDocument/2006/relationships/printerSettings" Target="../printerSettings/printerSettings12.bin"/><Relationship Id="rId5" Type="http://schemas.openxmlformats.org/officeDocument/2006/relationships/hyperlink" Target="https://produto.mercadolivre.com.br/MLB-1503503280-aparelho-telefnico-fixo-com-fio-intelbras-pleno-preto-_JM?matt_tool=18956390&amp;utm_source=google_shopping&amp;utm_medium=organic" TargetMode="External"/><Relationship Id="rId15" Type="http://schemas.openxmlformats.org/officeDocument/2006/relationships/hyperlink" Target="https://www.amazon.com.br/Microsoft-OFFICE-365-PERSONAL-QQ2-01368/dp/B0B4T5245K?source=ps-sl-shoppingads-lpcontext&amp;ref_=fplfs&amp;psc=1&amp;smid=A3JLGWYKND12L" TargetMode="External"/><Relationship Id="rId23" Type="http://schemas.openxmlformats.org/officeDocument/2006/relationships/hyperlink" Target="https://www.amazon.com.br/Cadeira-escrit%C3%B3rio-ergon%C3%B4mica-estofado-mesh%EF%BC%88Preto%EF%BC%89/dp/B0CGWTTZX4?source=ps-sl-shoppingads-lpcontext&amp;ref_=fplfs&amp;smid=A2YTXW55XVXFZC&amp;th=1" TargetMode="External"/><Relationship Id="rId28" Type="http://schemas.openxmlformats.org/officeDocument/2006/relationships/hyperlink" Target="https://www.zapimoveis.com.br/imovel/aluguel-conjunto-comercial-sala-mata-da-praia-vitoria-es-48m2-id-2652674711/" TargetMode="External"/><Relationship Id="rId36" Type="http://schemas.openxmlformats.org/officeDocument/2006/relationships/hyperlink" Target="https://www.fastshop.com.br/web/p/d/EPV11H981020_PRD/projetor-epson-3400-lumens-branco-v11h981020-fast?partner=parceiro-google&amp;cm_mmc=cpc_Shopping-_-EPV11H981020_PRD&amp;gclid=Cj0KCQjw5oiMBhDtARIsAJi0qk0hpVO-oYz1DXVOgJ0Z8l7MoBUB54xbL1e1jq4K6U0D9yWg4PJuc5QaAu80EALw_wcB" TargetMode="External"/><Relationship Id="rId10" Type="http://schemas.openxmlformats.org/officeDocument/2006/relationships/hyperlink" Target="https://www.dell.com/pt-br/shop/computadores-all-in-ones-e-workstations/desktop-optiplex-micro/spd/optiplex-7010-micro/cto01o7010mffbcc_on_1?redirectTo=SOC" TargetMode="External"/><Relationship Id="rId19" Type="http://schemas.openxmlformats.org/officeDocument/2006/relationships/hyperlink" Target="https://www.amazon.com.br/Monitor-21-5-Dell-SE2216H-Full/dp/B015P6ITQ0" TargetMode="External"/><Relationship Id="rId31" Type="http://schemas.openxmlformats.org/officeDocument/2006/relationships/hyperlink" Target="https://www.zapimoveis.com.br/imovel/aluguel-conjunto-comercial-sala-enseada-do-sua-vitoria-es-33m2-id-2721546536/?utm_source=email&amp;utm_medium=transactional&amp;utm_campaign=confirmacaodeleads_em_tr_bg_ld_ao_cr_re_zp_cr&amp;utm_source_platform=salesforce" TargetMode="External"/><Relationship Id="rId4" Type="http://schemas.openxmlformats.org/officeDocument/2006/relationships/hyperlink" Target="https://www.amazon.com.br/Impressora-HP-OfficeJet-9730-Multifuncional/dp/B00XFDN754?source=ps-sl-shoppingads-lpcontext&amp;ref_=fplfs&amp;psc=1&amp;smid=A2AB3A8220GMTG" TargetMode="External"/><Relationship Id="rId9" Type="http://schemas.openxmlformats.org/officeDocument/2006/relationships/hyperlink" Target="https://www.dell.com/pt-br/shop/computadores-all-in-ones-e-workstations/optiplex-small-desktop/spd/optiplex-7010-small-ff/cto01o7010sffbcc_on_1?redirectTo=SOC" TargetMode="External"/><Relationship Id="rId14" Type="http://schemas.openxmlformats.org/officeDocument/2006/relationships/hyperlink" Target="https://www.kabum.com.br/produto/349870/pacote-office-365-personal-digital-1tb-1-licenca-de-midia-fisica-microsoft?srsltid=AfmBOoqDi96EJByeX_Gf_-BCKAtTnGI5Ke_LpCbSKczjdUX4ZpKLbA_wfPI" TargetMode="External"/><Relationship Id="rId22" Type="http://schemas.openxmlformats.org/officeDocument/2006/relationships/hyperlink" Target="https://www.pontofrio.com.br/Moveis/AreadeServico/ArmariosMultiuso/armario-multiuso-061x180m-2-portas-6-prateleiras-henn-margarida-turin-hp-11476669.html?rectype=p1_op_s8&amp;recsource=btermo" TargetMode="External"/><Relationship Id="rId27" Type="http://schemas.openxmlformats.org/officeDocument/2006/relationships/hyperlink" Target="https://produto.mercadolivre.com.br/MLB-3482100427-mesa-escrivaninha-office-durango-com-2-gavetas-em-l-de-canto-_JM" TargetMode="External"/><Relationship Id="rId30" Type="http://schemas.openxmlformats.org/officeDocument/2006/relationships/hyperlink" Target="https://www.zapimoveis.com.br/imovel/aluguel-conjunto-comercial-sala-enseada-do-sua-vitoria-es-33m2-id-2721546536/?utm_source=email&amp;utm_medium=transactional&amp;utm_campaign=confirmacaodeleads_em_tr_bg_ld_ao_cr_re_zp_cr&amp;utm_source_platform=salesforce," TargetMode="External"/><Relationship Id="rId35" Type="http://schemas.openxmlformats.org/officeDocument/2006/relationships/hyperlink" Target="https://www.zapimoveis.com.br/imovel/aluguel-conjunto-comercial-sala-santa-lucia-vitoria-es-39m2-id-2723104036/?utm_source=email&amp;utm_medium=transactional&amp;utm_campaign=confirmacaodeleads_em_tr_bg_ld_ao_cr_re_zp_cr&amp;utm_source_platform=salesforce" TargetMode="External"/><Relationship Id="rId8" Type="http://schemas.openxmlformats.org/officeDocument/2006/relationships/hyperlink" Target="https://www.magazineluiza.com.br/computador-dell-vostro-core-i3-wifi-sff-ssd-256gb-windows/p/bk0b63732e/in/cptd/" TargetMode="External"/><Relationship Id="rId3" Type="http://schemas.openxmlformats.org/officeDocument/2006/relationships/hyperlink" Target="https://www.kabum.com.br/produto/581868/multifuncional-hp-officejet-pro-9730-wi-fi-impressao-rapida-e-alta-resolucao?srsltid=AfmBOor6oCnRtk7U7hgHf9IMEJ3krxD_xD0nMTYBjMWWJ8bde_C4D7asLhk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tacadosaopaulo.com.br/saco-de-lixo-preto-60-litros-m2-%7C-100un-%7C-papelial/p" TargetMode="External"/><Relationship Id="rId18" Type="http://schemas.openxmlformats.org/officeDocument/2006/relationships/hyperlink" Target="https://www.americanas.com.br/produto/7470500307/saco-lixo-20l-0-7-kg-preto-100un?pfm_carac=saco-de-lixo-20l&amp;pfm_index=2&amp;pfm_page=search&amp;pfm_pos=grid&amp;pfm_type=search_page&amp;offerId=651bfce0cc55309385f3f88d" TargetMode="External"/><Relationship Id="rId26" Type="http://schemas.openxmlformats.org/officeDocument/2006/relationships/hyperlink" Target="https://www.americanas.com.br/produto/6306591544/papel-toalha-interfolhado-20x21-boa-qualidade-branco-2-dobras-1000-folhas?pfm_carac=papel-toalha&amp;pfm_index=7&amp;pfm_page=search&amp;pfm_pos=grid&amp;pfm_type=search_page&amp;offerId=63599eb0b1efc389fc59b0c6" TargetMode="External"/><Relationship Id="rId21" Type="http://schemas.openxmlformats.org/officeDocument/2006/relationships/hyperlink" Target="https://www.atacadosaopaulo.com.br/sabonete-liquido-5l-eco-blue-lavanda---un---premisse/p" TargetMode="External"/><Relationship Id="rId34" Type="http://schemas.openxmlformats.org/officeDocument/2006/relationships/hyperlink" Target="https://www.extra.com.br/esponja-dupla-face-com-10-unidades-scotch-brite-3m/p/4807994?utm_source=gp_pla&amp;utm_medium=cpc&amp;utm_campaign=gg_pmax_core_elpo" TargetMode="External"/><Relationship Id="rId7" Type="http://schemas.openxmlformats.org/officeDocument/2006/relationships/hyperlink" Target="https://mercado.carrefour.com.br/limpa-vidros-veja-vidrex-tradicional-500ml-781428/p" TargetMode="External"/><Relationship Id="rId12" Type="http://schemas.openxmlformats.org/officeDocument/2006/relationships/hyperlink" Target="https://www.extra.com.br/saco-para-lixo-100l-pesado-com-100-un-induplast/p/1567596728" TargetMode="External"/><Relationship Id="rId17" Type="http://schemas.openxmlformats.org/officeDocument/2006/relationships/hyperlink" Target="https://www.carrefour.com.br/saco-de-lixo-20l-preto-tonovale-c100-unidades-tonovale-mp923035972/p" TargetMode="External"/><Relationship Id="rId25" Type="http://schemas.openxmlformats.org/officeDocument/2006/relationships/hyperlink" Target="https://www.extra.com.br/papel-toalha-interfolhado-pierre-20x21-branco-luxo/p/1565752674?utm_source=gp_pla&amp;utm_medium=cpc&amp;utm_campaign=gg_pmax_core_elpo" TargetMode="External"/><Relationship Id="rId33" Type="http://schemas.openxmlformats.org/officeDocument/2006/relationships/hyperlink" Target="https://www.extrabom.com.br/p/desinfetante-pinho-urca-lavanda-5l/109725/" TargetMode="External"/><Relationship Id="rId38" Type="http://schemas.openxmlformats.org/officeDocument/2006/relationships/drawing" Target="../drawings/drawing11.xml"/><Relationship Id="rId2" Type="http://schemas.openxmlformats.org/officeDocument/2006/relationships/hyperlink" Target="https://mercado.carrefour.com.br/la-de-aco-bombril-com-8-unidades-cozinha-60g-255092/p" TargetMode="External"/><Relationship Id="rId16" Type="http://schemas.openxmlformats.org/officeDocument/2006/relationships/hyperlink" Target="https://www.atacadosaopaulo.com.br/saco-de-lixo-preto-20-litros-m2-%7C-100un-%7C-papelial/p" TargetMode="External"/><Relationship Id="rId20" Type="http://schemas.openxmlformats.org/officeDocument/2006/relationships/hyperlink" Target="https://www.carrefour.com.br/sabonete-liquido-5l---luna-s-secret-mp914607609/p" TargetMode="External"/><Relationship Id="rId29" Type="http://schemas.openxmlformats.org/officeDocument/2006/relationships/hyperlink" Target="https://www.carone.com.br/papel-higienico-neutro-mimmo-folha-dupla-30m-leve-12-pague-11-120780/p" TargetMode="External"/><Relationship Id="rId1" Type="http://schemas.openxmlformats.org/officeDocument/2006/relationships/hyperlink" Target="https://www.extrabom.com.br/p/la-de-aco-bombril-60g-com-8und/3354/" TargetMode="External"/><Relationship Id="rId6" Type="http://schemas.openxmlformats.org/officeDocument/2006/relationships/hyperlink" Target="https://www.atacadosaopaulo.com.br/detergente-5-litros-neutro-%7C-un-%7C-limpol/p" TargetMode="External"/><Relationship Id="rId11" Type="http://schemas.openxmlformats.org/officeDocument/2006/relationships/hyperlink" Target="https://www.americanas.com.br/produto/5075020356/saco-de-lixo-super-reforcado-100-litros-100-unidades?pfm_carac=saco-de-lixo-100l&amp;pfm_index=6&amp;pfm_page=search&amp;pfm_pos=grid&amp;pfm_type=search_page&amp;offerId=627c918e87c00289c27a1751&amp;cor=Preto&amp;condition=NEW" TargetMode="External"/><Relationship Id="rId24" Type="http://schemas.openxmlformats.org/officeDocument/2006/relationships/hyperlink" Target="https://www.atacadosaopaulo.com.br/sabao-em-po-astra-5kg-%7C-un-%7C-barra/p" TargetMode="External"/><Relationship Id="rId32" Type="http://schemas.openxmlformats.org/officeDocument/2006/relationships/hyperlink" Target="https://www.carone.com.br/desinfetante-urca-lavanda-5l-74016/p" TargetMode="External"/><Relationship Id="rId37" Type="http://schemas.openxmlformats.org/officeDocument/2006/relationships/printerSettings" Target="../printerSettings/printerSettings14.bin"/><Relationship Id="rId5" Type="http://schemas.openxmlformats.org/officeDocument/2006/relationships/hyperlink" Target="https://mercado.carrefour.com.br/detergente-liquido-clear-ype-5-l-7838239/p" TargetMode="External"/><Relationship Id="rId15" Type="http://schemas.openxmlformats.org/officeDocument/2006/relationships/hyperlink" Target="https://www.americanas.com.br/produto/6984491673/saco-para-lixo-60-litros-100-unds-indicado-para-lixo-leve?pfm_carac=saco-de-lixo-60l&amp;pfm_index=14&amp;pfm_page=search&amp;pfm_pos=grid&amp;pfm_type=search_page&amp;offerId=653457a0cc553093857de736" TargetMode="External"/><Relationship Id="rId23" Type="http://schemas.openxmlformats.org/officeDocument/2006/relationships/hyperlink" Target="https://www.americanas.com.br/produto/9793999/sabao-em-po-azul-com-5kg-class?pfm_carac=sabao-em-po-5kg&amp;pfm_index=5&amp;pfm_page=search&amp;pfm_pos=grid&amp;pfm_type=search_page&amp;offerId=592828ee1f09073c7eb5424c" TargetMode="External"/><Relationship Id="rId28" Type="http://schemas.openxmlformats.org/officeDocument/2006/relationships/hyperlink" Target="https://www.extrabom.com.br/p/papel-higienico-folha-dupla-mimmo-neutro-30m-leve-12-pague-11und/96558/" TargetMode="External"/><Relationship Id="rId36" Type="http://schemas.openxmlformats.org/officeDocument/2006/relationships/hyperlink" Target="https://www.atacadosaopaulo.com.br/esponja-multiuso-dupla-face-37866---10un---nobre/p" TargetMode="External"/><Relationship Id="rId10" Type="http://schemas.openxmlformats.org/officeDocument/2006/relationships/hyperlink" Target="https://www.atacadosaopaulo.com.br/saco-de-lixo-preto-pesado-100-litros-m5-%7C-100un-%7C-papelial/p" TargetMode="External"/><Relationship Id="rId19" Type="http://schemas.openxmlformats.org/officeDocument/2006/relationships/hyperlink" Target="https://www.americanas.com.br/produto/7465113759/sabonete-liquido-perolizado-talco-altz-5-litros-archote?pfm_carac=sabonete-liquido-5l&amp;pfm_index=2&amp;pfm_page=search&amp;pfm_pos=grid&amp;pfm_type=search_page&amp;offerId=64de8c14579fbc8d91c09350&amp;buyboxToken=smartbuybox-acom-v2-b893a312-db23-4da8-a96b-7a39639eb1f1-2024-06-27%2012%3A51%3A26%200000-none-default" TargetMode="External"/><Relationship Id="rId31" Type="http://schemas.openxmlformats.org/officeDocument/2006/relationships/hyperlink" Target="https://www.atacadosaopaulo.com.br/desinfetante-5lt-lavanda---un---urca/p" TargetMode="External"/><Relationship Id="rId4" Type="http://schemas.openxmlformats.org/officeDocument/2006/relationships/hyperlink" Target="https://www.extrabom.com.br/p/detergente-liquido-lava-loucas-limpol-cristal-5l/178803/" TargetMode="External"/><Relationship Id="rId9" Type="http://schemas.openxmlformats.org/officeDocument/2006/relationships/hyperlink" Target="https://www.carone.com.br/limpa-vidros-veja-vidrex-tradicional-500ml-104432/p" TargetMode="External"/><Relationship Id="rId14" Type="http://schemas.openxmlformats.org/officeDocument/2006/relationships/hyperlink" Target="https://www.extra.com.br/saco-para-lixo-60-litros-azul-100-unidades-induplast/p/1559570253" TargetMode="External"/><Relationship Id="rId22" Type="http://schemas.openxmlformats.org/officeDocument/2006/relationships/hyperlink" Target="https://www.extra.com.br/lava-roupas-sabao-em-po-perfumado-5kg-ultra-class/p/1560476965?utm_source=gp_pla&amp;utm_medium=cpc&amp;utm_campaign=gg_pmax_core_elpo" TargetMode="External"/><Relationship Id="rId27" Type="http://schemas.openxmlformats.org/officeDocument/2006/relationships/hyperlink" Target="https://www.atacadosaopaulo.com.br/papel-toalha-branco-20-5-x-20-cm-silver-a2-%7C-1000fls-%7C-belipel/p" TargetMode="External"/><Relationship Id="rId30" Type="http://schemas.openxmlformats.org/officeDocument/2006/relationships/hyperlink" Target="https://mercado.carrefour.com.br/papel-higienico-mimmo-folha-dupla-com-12-rolos-oferta-especial-6255078/p" TargetMode="External"/><Relationship Id="rId35" Type="http://schemas.openxmlformats.org/officeDocument/2006/relationships/hyperlink" Target="https://www.americanas.com.br/produto/7476911902/esponja-dupla-face-c-10un-superpro-bettanin?pfm_carac=esponja-dupla-face&amp;pfm_index=20&amp;pfm_page=search&amp;pfm_pos=grid&amp;pfm_type=search_page&amp;offerId=6569c6a0cc553093858507bb" TargetMode="External"/><Relationship Id="rId8" Type="http://schemas.openxmlformats.org/officeDocument/2006/relationships/hyperlink" Target="https://www.extrabom.com.br/p/limpa-vidros-veja-vidrex-tradicional-500ml-oferta/40727/" TargetMode="External"/><Relationship Id="rId3" Type="http://schemas.openxmlformats.org/officeDocument/2006/relationships/hyperlink" Target="https://www.carone.com.br/esponja-de-aco-bombril-8-unidades-60g-10787/p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lunga.com.br/prod/clips-numero-0-galvanizado-lata-com-500g-spiral-pt-1-un/195438" TargetMode="External"/><Relationship Id="rId18" Type="http://schemas.openxmlformats.org/officeDocument/2006/relationships/hyperlink" Target="https://www.atacadosaopaulo.com.br/envelope-kraft-natural-240x340mm-80g-skn334---100un---scrity/p" TargetMode="External"/><Relationship Id="rId26" Type="http://schemas.openxmlformats.org/officeDocument/2006/relationships/hyperlink" Target="https://www.mercadolivre.com.br/caneta-permanente-pilot-cd-dvd-plastico-acrilico-vinil-vidro-cor-preto/p/MLB25845222?pdp_filters=item_id:MLB3650700929" TargetMode="External"/><Relationship Id="rId21" Type="http://schemas.openxmlformats.org/officeDocument/2006/relationships/hyperlink" Target="https://www.atacadosaopaulo.com.br/grafite-0-7-mm-2b-estojo-com-12-minas-%7C-12un-%7C-pilot/p" TargetMode="External"/><Relationship Id="rId34" Type="http://schemas.openxmlformats.org/officeDocument/2006/relationships/hyperlink" Target="https://produto.mercadolivre.com.br/MLB-1405354839-dvd-r-multilaser-pino-c50-47gb-16x-_JM" TargetMode="External"/><Relationship Id="rId7" Type="http://schemas.openxmlformats.org/officeDocument/2006/relationships/hyperlink" Target="https://www.atacadosaopaulo.com.br/caneta-esferografica-cristal-dura---1-0-mm-azul-%7C-50un-%7C-bic/p" TargetMode="External"/><Relationship Id="rId12" Type="http://schemas.openxmlformats.org/officeDocument/2006/relationships/hyperlink" Target="https://www.atacadosaopaulo.com.br/clips-n-2-0-galvanizado-caixa-com-500g---725un---acc/p" TargetMode="External"/><Relationship Id="rId17" Type="http://schemas.openxmlformats.org/officeDocument/2006/relationships/hyperlink" Target="https://www.amazon.com.br/Scrity-SKN334-Envelope-Multicolor-Pacote/dp/B077J4KWB2/ref=sr_1_5?crid=2HNUJCKSKJLGB&amp;dib=eyJ2IjoiMSJ9.HLCgtK73YTb25m8fc6pCXZ3hBEZ5rE8-Ww6IidR0Ej2fVOXngKQZr9UpyksrFLBhvtzIxGiYdblhZtc7h-SptzofYSXbnqrEmNSVqTt91xH75xfxEng1K8EIa8uahJ1ZShsUN4VWWUOCJI47qqx4x34bYgAtqSfi4VAN51iWo0W2V0EDCi_vwYzfjVQq7IqGwWnrAUfKI4QIMndGPFYa2jKuHeBYsaLvw3O55RawsNbsCRMa6Y7uKuKQw8Q50aERVoWC-MHsPToFXwejjYi2ov5lW20JF1ayI21Ec_bKxUc.mNAh1d378EcPhNmOH_uG2xXTIpr8Fyr-3nnZrJW5XzA&amp;dib_tag=se&amp;keywords=envelope+a4&amp;qid=1719325239&amp;sprefix=envelop%2Caps%2C219&amp;sr=8-5" TargetMode="External"/><Relationship Id="rId25" Type="http://schemas.openxmlformats.org/officeDocument/2006/relationships/hyperlink" Target="https://www.kalunga.com.br/prod/caneta-paracd-dvd-blu-ray-2-0mm-preta-pilot-bt-1-un/167960" TargetMode="External"/><Relationship Id="rId33" Type="http://schemas.openxmlformats.org/officeDocument/2006/relationships/hyperlink" Target="https://www.kalunga.com.br/prod/papel-sulfite-a3-75g-297mmx420mm-chamex-pt-500-fl/476092" TargetMode="External"/><Relationship Id="rId38" Type="http://schemas.openxmlformats.org/officeDocument/2006/relationships/drawing" Target="../drawings/drawing13.xml"/><Relationship Id="rId2" Type="http://schemas.openxmlformats.org/officeDocument/2006/relationships/hyperlink" Target="https://www.mercadolivre.com.br/caixa-10-pacotes-resmas-papel-a4-sulfite-chamex-5000-folhas-cor-branco/p/MLB21791972" TargetMode="External"/><Relationship Id="rId16" Type="http://schemas.openxmlformats.org/officeDocument/2006/relationships/hyperlink" Target="https://www.mercadolivre.com.br/cola-branca-polar-40g-caixa-com-12-un/p/MLB28245854" TargetMode="External"/><Relationship Id="rId20" Type="http://schemas.openxmlformats.org/officeDocument/2006/relationships/hyperlink" Target="https://www.atacadosaopaulo.com.br/fita-adesiva-18x50-transparente-qualitap---7rl---adelbras/p" TargetMode="External"/><Relationship Id="rId29" Type="http://schemas.openxmlformats.org/officeDocument/2006/relationships/hyperlink" Target="https://www.atacadosaopaulo.com.br/grampo-para-grampeador-26-6-cobreado---5000un---acc/p" TargetMode="External"/><Relationship Id="rId1" Type="http://schemas.openxmlformats.org/officeDocument/2006/relationships/hyperlink" Target="https://www.kalunga.com.br/prod/papel-sulfite-a4-75g-210mmx297mm-caixa-com-10-resmas-5000-folhas-chamex-cx-1-un/996102" TargetMode="External"/><Relationship Id="rId6" Type="http://schemas.openxmlformats.org/officeDocument/2006/relationships/hyperlink" Target="https://www.atacadosaopaulo.com.br/caneta-esferografica-cristal-dura---1-0-mm-vermelha-%7C-50un-%7C-bic/p" TargetMode="External"/><Relationship Id="rId11" Type="http://schemas.openxmlformats.org/officeDocument/2006/relationships/hyperlink" Target="https://www.kalunga.com.br/prod/marca-texto-grifpen-amarelo-12-unidades-faber-castell-cx-12-un/389604" TargetMode="External"/><Relationship Id="rId24" Type="http://schemas.openxmlformats.org/officeDocument/2006/relationships/hyperlink" Target="https://www.mercadolivre.com.br/lapiseira-tecnica-2b-07-jocar-com-tubo-de-grafite/p/MLB24278722?pdp_filters=item_id:MLB3450487969" TargetMode="External"/><Relationship Id="rId32" Type="http://schemas.openxmlformats.org/officeDocument/2006/relationships/hyperlink" Target="https://www.atacadosaopaulo.com.br/papel-a3-297x420-75g-m2---500fl---chamex/p" TargetMode="External"/><Relationship Id="rId37" Type="http://schemas.openxmlformats.org/officeDocument/2006/relationships/printerSettings" Target="../printerSettings/printerSettings16.bin"/><Relationship Id="rId5" Type="http://schemas.openxmlformats.org/officeDocument/2006/relationships/hyperlink" Target="https://www.kalunga.com.br/prod/borracha-plastica-branca-com-cinta-vermelha-pequena-faber-castell-cx-24-un/068643" TargetMode="External"/><Relationship Id="rId15" Type="http://schemas.openxmlformats.org/officeDocument/2006/relationships/hyperlink" Target="https://www.kalunga.com.br/prod/clips-numero-8-0-galvanizado-lata-com-500g-spiral-pt-1-un/195379" TargetMode="External"/><Relationship Id="rId23" Type="http://schemas.openxmlformats.org/officeDocument/2006/relationships/hyperlink" Target="https://www.atacadosaopaulo.com.br/lapiseira-0-7mm-h-187-preto-024pr-pilot---un/p" TargetMode="External"/><Relationship Id="rId28" Type="http://schemas.openxmlformats.org/officeDocument/2006/relationships/hyperlink" Target="https://www.kalunga.com.br/prod/cola-em-bastao-10g-65715-spiral-office-cx-12-un/209617" TargetMode="External"/><Relationship Id="rId36" Type="http://schemas.openxmlformats.org/officeDocument/2006/relationships/hyperlink" Target="https://produto.mercadolivre.com.br/MLB-3493559621-fita-adesiva-durex-transparente-empacotamento-18mmx50m-c7un-_JM" TargetMode="External"/><Relationship Id="rId10" Type="http://schemas.openxmlformats.org/officeDocument/2006/relationships/hyperlink" Target="https://www.mercadolivre.com.br/caneta-marca-texto-pilot-lumi-color-12-un-cor-amarelo/p/MLB24005552" TargetMode="External"/><Relationship Id="rId19" Type="http://schemas.openxmlformats.org/officeDocument/2006/relationships/hyperlink" Target="https://www.kalunga.com.br/prod/envelope-saco-kraft-natural-75g-240x340-kft34-2119-romitec-cx-100-un/249411" TargetMode="External"/><Relationship Id="rId31" Type="http://schemas.openxmlformats.org/officeDocument/2006/relationships/hyperlink" Target="https://www.atacadosaopaulo.com.br/dvd-r-4-7gb-120min-16x-dv061---50un---multilaser/p" TargetMode="External"/><Relationship Id="rId4" Type="http://schemas.openxmlformats.org/officeDocument/2006/relationships/hyperlink" Target="https://www.atacadosaopaulo.com.br/borracha-plastica-com-capa-tr-18-branca---24un---mercur/p" TargetMode="External"/><Relationship Id="rId9" Type="http://schemas.openxmlformats.org/officeDocument/2006/relationships/hyperlink" Target="https://www.kalunga.com.br/prod/caneta-esferografica-bic-cristal-dura-mais-a-classica-vermelha-ponta-media-de-1-0mm-835206-cx-50-un/176340" TargetMode="External"/><Relationship Id="rId14" Type="http://schemas.openxmlformats.org/officeDocument/2006/relationships/hyperlink" Target="https://www.atacadosaopaulo.com.br/clips-n-8-0-galvanizado-caixa-com-500g---137un---acc/p" TargetMode="External"/><Relationship Id="rId22" Type="http://schemas.openxmlformats.org/officeDocument/2006/relationships/hyperlink" Target="https://produto.mercadolivre.com.br/MLB-3413775217-grafite-07mm-hb-caixa-com-12-tubos-brw-_JM" TargetMode="External"/><Relationship Id="rId27" Type="http://schemas.openxmlformats.org/officeDocument/2006/relationships/hyperlink" Target="https://www.atacadosaopaulo.com.br/cola-bastao-10g-leonora---12un---leonora/p" TargetMode="External"/><Relationship Id="rId30" Type="http://schemas.openxmlformats.org/officeDocument/2006/relationships/hyperlink" Target="https://www.kalunga.com.br/prod/grampo-paragrampeador-26-6-cobre-spiral-grampos-pt-5000-un/377059" TargetMode="External"/><Relationship Id="rId35" Type="http://schemas.openxmlformats.org/officeDocument/2006/relationships/hyperlink" Target="https://www.kalunga.com.br/prod/cola-branca-liquida-40g-master-1-un/214609" TargetMode="External"/><Relationship Id="rId8" Type="http://schemas.openxmlformats.org/officeDocument/2006/relationships/hyperlink" Target="https://www.kalunga.com.br/prod/caneta-esferografica-bic-cristal-original-dura-mais-azul-ponta-media-de-1-0mm-835205-cx-50-un/176072" TargetMode="External"/><Relationship Id="rId3" Type="http://schemas.openxmlformats.org/officeDocument/2006/relationships/hyperlink" Target="https://www.atacadosaopaulo.com.br/caixa-papel-a4-75-g-m%C2%B2-500-folhas-branco-chamex/p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xtraplus.com.br/p/acucar-cristal-alcon-5kg/39157/" TargetMode="External"/><Relationship Id="rId13" Type="http://schemas.openxmlformats.org/officeDocument/2006/relationships/hyperlink" Target="https://www.americanas.com.br/produto/5729420093/copo-descartavel-50ml-branco-copoplast-caixa-com-5-000-unidades?pfm_carac=caixa-copo-descartavel-50ml&amp;pfm_index=3&amp;pfm_page=search&amp;pfm_pos=grid&amp;pfm_type=search_page&amp;offerId=6304daa5adbc5f39b95f5013" TargetMode="External"/><Relationship Id="rId3" Type="http://schemas.openxmlformats.org/officeDocument/2006/relationships/hyperlink" Target="https://www.extraplus.com.br/p/agua-mineral-natural-pedra-azul-20l-sem-o-vasilhame/5749/" TargetMode="External"/><Relationship Id="rId7" Type="http://schemas.openxmlformats.org/officeDocument/2006/relationships/hyperlink" Target="https://www.atacadosaopaulo.com.br/acucar-cristal-5kg-%7C-un-%7C-santa-isabel/p" TargetMode="External"/><Relationship Id="rId12" Type="http://schemas.openxmlformats.org/officeDocument/2006/relationships/hyperlink" Target="https://www.atacadosaopaulo.com.br/caixa-copo-descartavel-200ml-branco-agua-coposul---2500-unidades/p" TargetMode="External"/><Relationship Id="rId17" Type="http://schemas.openxmlformats.org/officeDocument/2006/relationships/drawing" Target="../drawings/drawing14.xml"/><Relationship Id="rId2" Type="http://schemas.openxmlformats.org/officeDocument/2006/relationships/hyperlink" Target="https://www.perim.com.br/produtos/detalhe/11221/agua-mineral-acqua-reale-20l-sem-galao" TargetMode="External"/><Relationship Id="rId16" Type="http://schemas.openxmlformats.org/officeDocument/2006/relationships/printerSettings" Target="../printerSettings/printerSettings17.bin"/><Relationship Id="rId1" Type="http://schemas.openxmlformats.org/officeDocument/2006/relationships/hyperlink" Target="https://www.extrabom.com.br/p/a-gua-mineral-natural-pedra-azul-20l-sem-o-vasilhame/5749/" TargetMode="External"/><Relationship Id="rId6" Type="http://schemas.openxmlformats.org/officeDocument/2006/relationships/hyperlink" Target="https://www.sitemercado.com.br/saojose/vitoria-sao-jose-supermercados-praia-do-canto-rua-manoel-goncalves-carneiro/produto/cafe-3-coracoes-500g-extra-forte" TargetMode="External"/><Relationship Id="rId11" Type="http://schemas.openxmlformats.org/officeDocument/2006/relationships/hyperlink" Target="https://produto.mercadolivre.com.br/MLB-2169999182-copo-200ml-flex-transparente-descartavel-ps-2500-copos-full-_JM" TargetMode="External"/><Relationship Id="rId5" Type="http://schemas.openxmlformats.org/officeDocument/2006/relationships/hyperlink" Target="https://www.perim.com.br/produtos/detalhe/6033/cafe-torrado-e-moido-extraforte-3-coracoes-pacote-500g" TargetMode="External"/><Relationship Id="rId15" Type="http://schemas.openxmlformats.org/officeDocument/2006/relationships/hyperlink" Target="https://www.extra.com.br/copo-descartavel-50ml-cafe-cafezinho-cha-copinho-c-5000-un/p/1563137961?utm_campaign=gg_pmax_core_elpo&amp;utm_medium=cpc&amp;utm_source=gp_pla" TargetMode="External"/><Relationship Id="rId10" Type="http://schemas.openxmlformats.org/officeDocument/2006/relationships/hyperlink" Target="https://www.americanas.com.br/produto/2128983341/caixa-de-copo-descartavel-200ml-branco-c-2500-unids-copoplast?pfm_carac=caixa-copo-descartabel&amp;pfm_index=4&amp;pfm_page=search&amp;pfm_pos=grid&amp;pfm_type=search_page&amp;offerId=5f74c1cb1b186381b540bbfe" TargetMode="External"/><Relationship Id="rId4" Type="http://schemas.openxmlformats.org/officeDocument/2006/relationships/hyperlink" Target="https://www.extrabom.com.br/p/cafe-em-po-3-coracoes-extraforte-500g/7927/" TargetMode="External"/><Relationship Id="rId9" Type="http://schemas.openxmlformats.org/officeDocument/2006/relationships/hyperlink" Target="https://www.sitemercado.com.br/saojose/vitoria-sao-jose-supermercados-praia-do-canto-rua-manoel-goncalves-carneiro/produto/acucar-cristal-santa-isabel-5kg" TargetMode="External"/><Relationship Id="rId14" Type="http://schemas.openxmlformats.org/officeDocument/2006/relationships/hyperlink" Target="https://produto.mercadolivre.com.br/MLB-3468371827-copo-cafe-50ml-descartavel-5000-unidades-caixa-full-_JM?vip_filters=shipping:fulfillment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25"/>
  <sheetViews>
    <sheetView tabSelected="1" view="pageBreakPreview" zoomScale="110" zoomScaleNormal="85" zoomScaleSheetLayoutView="110" zoomScalePageLayoutView="90" workbookViewId="0">
      <selection activeCell="G6" sqref="G6"/>
    </sheetView>
  </sheetViews>
  <sheetFormatPr defaultColWidth="10.6640625" defaultRowHeight="15" customHeight="1" x14ac:dyDescent="0.25"/>
  <cols>
    <col min="1" max="1" width="4.88671875" style="11" bestFit="1" customWidth="1"/>
    <col min="2" max="2" width="7.44140625" style="11" customWidth="1"/>
    <col min="3" max="3" width="6.6640625" style="11" bestFit="1" customWidth="1"/>
    <col min="4" max="4" width="71.109375" style="12" customWidth="1"/>
    <col min="5" max="5" width="7.33203125" style="11" bestFit="1" customWidth="1"/>
    <col min="6" max="6" width="11" style="11" bestFit="1" customWidth="1"/>
    <col min="7" max="7" width="15.6640625" style="13" customWidth="1"/>
    <col min="8" max="8" width="14.77734375" style="13" bestFit="1" customWidth="1"/>
    <col min="9" max="9" width="15.6640625" style="14" bestFit="1" customWidth="1"/>
    <col min="10" max="10" width="10.6640625" style="11"/>
    <col min="11" max="11" width="16.33203125" style="11" customWidth="1"/>
    <col min="12" max="13" width="10.6640625" style="11"/>
    <col min="14" max="14" width="22.5546875" style="11" bestFit="1" customWidth="1"/>
    <col min="15" max="15" width="15.88671875" bestFit="1" customWidth="1"/>
    <col min="16" max="16" width="13.44140625" style="11" bestFit="1" customWidth="1"/>
    <col min="17" max="17" width="14" style="11" bestFit="1" customWidth="1"/>
    <col min="18" max="16384" width="10.6640625" style="11"/>
  </cols>
  <sheetData>
    <row r="1" spans="1:15" s="1" customFormat="1" ht="15" customHeight="1" x14ac:dyDescent="0.25">
      <c r="A1" s="356" t="s">
        <v>19</v>
      </c>
      <c r="B1" s="356"/>
      <c r="C1" s="356"/>
      <c r="D1" s="356"/>
      <c r="E1" s="356"/>
      <c r="F1" s="356"/>
      <c r="G1" s="319"/>
      <c r="H1" s="362">
        <f ca="1">TODAY()</f>
        <v>46013</v>
      </c>
      <c r="I1" s="362"/>
      <c r="K1" s="361" t="s">
        <v>342</v>
      </c>
    </row>
    <row r="2" spans="1:15" s="1" customFormat="1" ht="15" customHeight="1" x14ac:dyDescent="0.25">
      <c r="A2" s="357" t="s">
        <v>733</v>
      </c>
      <c r="B2" s="357"/>
      <c r="C2" s="357"/>
      <c r="D2" s="357"/>
      <c r="E2" s="162" t="s">
        <v>46</v>
      </c>
      <c r="F2" s="163">
        <f>FATOR_K!E12</f>
        <v>1.9967159277504105</v>
      </c>
      <c r="G2" s="230" t="s">
        <v>27</v>
      </c>
      <c r="H2" s="41" t="s">
        <v>72</v>
      </c>
      <c r="I2" s="97"/>
      <c r="K2" s="361"/>
    </row>
    <row r="3" spans="1:15" s="1" customFormat="1" ht="15" customHeight="1" x14ac:dyDescent="0.25">
      <c r="A3" s="77" t="s">
        <v>845</v>
      </c>
      <c r="B3" s="77"/>
      <c r="C3" s="77"/>
      <c r="D3" s="2"/>
      <c r="E3" s="3"/>
      <c r="F3" s="3"/>
      <c r="G3" s="42" t="s">
        <v>0</v>
      </c>
      <c r="H3" s="43" t="s">
        <v>820</v>
      </c>
      <c r="I3" s="97" t="s">
        <v>344</v>
      </c>
      <c r="K3" s="177">
        <f>I19/F12</f>
        <v>0</v>
      </c>
    </row>
    <row r="4" spans="1:15" s="4" customFormat="1" ht="15" customHeight="1" x14ac:dyDescent="0.25">
      <c r="A4" s="351" t="s">
        <v>1</v>
      </c>
      <c r="B4" s="351" t="s">
        <v>2</v>
      </c>
      <c r="C4" s="351" t="s">
        <v>3</v>
      </c>
      <c r="D4" s="352" t="s">
        <v>4</v>
      </c>
      <c r="E4" s="353" t="s">
        <v>25</v>
      </c>
      <c r="F4" s="354" t="s">
        <v>10</v>
      </c>
      <c r="G4" s="351" t="s">
        <v>26</v>
      </c>
      <c r="H4" s="351"/>
      <c r="I4" s="351"/>
      <c r="K4" s="4" t="s">
        <v>126</v>
      </c>
    </row>
    <row r="5" spans="1:15" s="4" customFormat="1" ht="15" customHeight="1" x14ac:dyDescent="0.25">
      <c r="A5" s="351"/>
      <c r="B5" s="351"/>
      <c r="C5" s="351"/>
      <c r="D5" s="352"/>
      <c r="E5" s="353"/>
      <c r="F5" s="354"/>
      <c r="G5" s="232" t="s">
        <v>340</v>
      </c>
      <c r="H5" s="232" t="s">
        <v>339</v>
      </c>
      <c r="I5" s="233" t="s">
        <v>9</v>
      </c>
      <c r="K5" s="4" t="s">
        <v>341</v>
      </c>
      <c r="M5" s="355"/>
      <c r="N5" s="355"/>
      <c r="O5" s="355"/>
    </row>
    <row r="6" spans="1:15" ht="13.8" x14ac:dyDescent="0.3">
      <c r="A6" s="164" t="s">
        <v>23</v>
      </c>
      <c r="B6" s="6" t="s">
        <v>269</v>
      </c>
      <c r="C6" s="86" t="s">
        <v>778</v>
      </c>
      <c r="D6" s="7" t="s">
        <v>33</v>
      </c>
      <c r="E6" s="6" t="s">
        <v>5</v>
      </c>
      <c r="F6" s="8">
        <f>'Memória de Cálculo'!E42</f>
        <v>36</v>
      </c>
      <c r="G6" s="9">
        <f>VLOOKUP(B6,CPU_Serviços!$A$7:$G$277,6,FALSE)</f>
        <v>0</v>
      </c>
      <c r="H6" s="9">
        <f>VLOOKUP(B6,CPU_Serviços!$A$7:$G$277,7,FALSE)</f>
        <v>0</v>
      </c>
      <c r="I6" s="10">
        <f>ROUND(H6*F6,2)</f>
        <v>0</v>
      </c>
      <c r="K6" s="100">
        <f>ROUND(G6*F6,2)</f>
        <v>0</v>
      </c>
      <c r="O6" s="231"/>
    </row>
    <row r="7" spans="1:15" ht="13.8" x14ac:dyDescent="0.3">
      <c r="A7" s="164" t="s">
        <v>22</v>
      </c>
      <c r="B7" s="6" t="s">
        <v>270</v>
      </c>
      <c r="C7" s="86" t="s">
        <v>778</v>
      </c>
      <c r="D7" s="7" t="s">
        <v>34</v>
      </c>
      <c r="E7" s="6" t="s">
        <v>5</v>
      </c>
      <c r="F7" s="8">
        <f>'Memória de Cálculo'!E81</f>
        <v>36</v>
      </c>
      <c r="G7" s="9">
        <f>VLOOKUP(B7,CPU_Serviços!$A$7:$G$277,6,FALSE)</f>
        <v>0</v>
      </c>
      <c r="H7" s="9">
        <f>VLOOKUP(B7,CPU_Serviços!$A$7:$G$277,7,FALSE)</f>
        <v>0</v>
      </c>
      <c r="I7" s="10">
        <f t="shared" ref="I7:I15" si="0">ROUND(H7*F7,2)</f>
        <v>0</v>
      </c>
      <c r="K7" s="100">
        <f t="shared" ref="K7:K16" si="1">ROUND(G7*F7,2)</f>
        <v>0</v>
      </c>
      <c r="O7" s="231"/>
    </row>
    <row r="8" spans="1:15" ht="13.8" x14ac:dyDescent="0.3">
      <c r="A8" s="164" t="s">
        <v>21</v>
      </c>
      <c r="B8" s="6" t="s">
        <v>271</v>
      </c>
      <c r="C8" s="86" t="s">
        <v>778</v>
      </c>
      <c r="D8" s="7" t="s">
        <v>35</v>
      </c>
      <c r="E8" s="6" t="s">
        <v>5</v>
      </c>
      <c r="F8" s="8">
        <f>'Memória de Cálculo'!E120</f>
        <v>36</v>
      </c>
      <c r="G8" s="9">
        <f>VLOOKUP(B8,CPU_Serviços!$A$7:$G$277,6,FALSE)</f>
        <v>0</v>
      </c>
      <c r="H8" s="9">
        <f>VLOOKUP(B8,CPU_Serviços!$A$7:$G$277,7,FALSE)</f>
        <v>0</v>
      </c>
      <c r="I8" s="10">
        <f t="shared" si="0"/>
        <v>0</v>
      </c>
      <c r="K8" s="100">
        <f t="shared" si="1"/>
        <v>0</v>
      </c>
      <c r="O8" s="231"/>
    </row>
    <row r="9" spans="1:15" ht="52.95" customHeight="1" x14ac:dyDescent="0.25">
      <c r="A9" s="164" t="s">
        <v>20</v>
      </c>
      <c r="B9" s="6" t="s">
        <v>272</v>
      </c>
      <c r="C9" s="86" t="s">
        <v>778</v>
      </c>
      <c r="D9" s="182" t="s">
        <v>445</v>
      </c>
      <c r="E9" s="6" t="s">
        <v>6</v>
      </c>
      <c r="F9" s="8">
        <f>'Memória de Cálculo'!E159</f>
        <v>5167783</v>
      </c>
      <c r="G9" s="9">
        <f>VLOOKUP(B9,CPU_Serviços!$A$7:$G$277,6,FALSE)</f>
        <v>0</v>
      </c>
      <c r="H9" s="9">
        <f>VLOOKUP(B9,CPU_Serviços!$A$7:$G$277,7,FALSE)</f>
        <v>0</v>
      </c>
      <c r="I9" s="10">
        <f t="shared" si="0"/>
        <v>0</v>
      </c>
      <c r="K9" s="100">
        <f t="shared" si="1"/>
        <v>0</v>
      </c>
      <c r="O9" s="231"/>
    </row>
    <row r="10" spans="1:15" ht="13.8" x14ac:dyDescent="0.3">
      <c r="A10" s="164" t="s">
        <v>29</v>
      </c>
      <c r="B10" s="6" t="s">
        <v>750</v>
      </c>
      <c r="C10" s="86" t="s">
        <v>778</v>
      </c>
      <c r="D10" s="7" t="s">
        <v>751</v>
      </c>
      <c r="E10" s="6" t="s">
        <v>752</v>
      </c>
      <c r="F10" s="8">
        <f>'Memória de Cálculo'!E164</f>
        <v>1</v>
      </c>
      <c r="G10" s="9">
        <f>VLOOKUP(B10,CPU_Serviços!$A$7:$G$277,6,FALSE)</f>
        <v>0</v>
      </c>
      <c r="H10" s="9">
        <f>VLOOKUP(B10,CPU_Serviços!$A$7:$G$277,7,FALSE)</f>
        <v>0</v>
      </c>
      <c r="I10" s="10">
        <f t="shared" si="0"/>
        <v>0</v>
      </c>
      <c r="K10" s="100">
        <f t="shared" si="1"/>
        <v>0</v>
      </c>
      <c r="O10" s="231"/>
    </row>
    <row r="11" spans="1:15" ht="13.8" x14ac:dyDescent="0.3">
      <c r="A11" s="164" t="s">
        <v>32</v>
      </c>
      <c r="B11" s="6" t="s">
        <v>274</v>
      </c>
      <c r="C11" s="86" t="s">
        <v>778</v>
      </c>
      <c r="D11" s="7" t="s">
        <v>36</v>
      </c>
      <c r="E11" s="6" t="s">
        <v>5</v>
      </c>
      <c r="F11" s="8">
        <f>'Memória de Cálculo'!E203</f>
        <v>13563</v>
      </c>
      <c r="G11" s="9">
        <f>VLOOKUP(B11,CPU_Serviços!$A$7:$G$277,6,FALSE)</f>
        <v>0</v>
      </c>
      <c r="H11" s="9">
        <f>VLOOKUP(B11,CPU_Serviços!$A$7:$G$277,7,FALSE)</f>
        <v>0</v>
      </c>
      <c r="I11" s="10">
        <f t="shared" si="0"/>
        <v>0</v>
      </c>
      <c r="K11" s="100">
        <f t="shared" si="1"/>
        <v>0</v>
      </c>
      <c r="O11" s="231"/>
    </row>
    <row r="12" spans="1:15" ht="13.8" x14ac:dyDescent="0.3">
      <c r="A12" s="164" t="s">
        <v>41</v>
      </c>
      <c r="B12" s="6" t="s">
        <v>275</v>
      </c>
      <c r="C12" s="86" t="s">
        <v>778</v>
      </c>
      <c r="D12" s="7" t="s">
        <v>37</v>
      </c>
      <c r="E12" s="6" t="s">
        <v>5</v>
      </c>
      <c r="F12" s="8">
        <f>'Memória de Cálculo'!E242</f>
        <v>13563</v>
      </c>
      <c r="G12" s="9">
        <f>VLOOKUP(B12,CPU_Serviços!$A$7:$G$277,6,FALSE)</f>
        <v>0</v>
      </c>
      <c r="H12" s="9">
        <f>VLOOKUP(B12,CPU_Serviços!$A$7:$G$277,7,FALSE)</f>
        <v>0</v>
      </c>
      <c r="I12" s="10">
        <f t="shared" si="0"/>
        <v>0</v>
      </c>
      <c r="K12" s="100">
        <f t="shared" si="1"/>
        <v>0</v>
      </c>
      <c r="O12" s="231"/>
    </row>
    <row r="13" spans="1:15" ht="13.8" x14ac:dyDescent="0.3">
      <c r="A13" s="164" t="s">
        <v>42</v>
      </c>
      <c r="B13" s="6" t="s">
        <v>276</v>
      </c>
      <c r="C13" s="86" t="s">
        <v>778</v>
      </c>
      <c r="D13" s="7" t="s">
        <v>38</v>
      </c>
      <c r="E13" s="6" t="s">
        <v>6</v>
      </c>
      <c r="F13" s="8">
        <f>'Memória de Cálculo'!E281</f>
        <v>5167783</v>
      </c>
      <c r="G13" s="9">
        <f>VLOOKUP(B13,CPU_Serviços!$A$7:$G$277,6,FALSE)</f>
        <v>0</v>
      </c>
      <c r="H13" s="9">
        <f>VLOOKUP(B13,CPU_Serviços!$A$7:$G$277,7,FALSE)</f>
        <v>0</v>
      </c>
      <c r="I13" s="10">
        <f t="shared" si="0"/>
        <v>0</v>
      </c>
      <c r="K13" s="100">
        <f t="shared" si="1"/>
        <v>0</v>
      </c>
      <c r="O13" s="231"/>
    </row>
    <row r="14" spans="1:15" ht="13.8" x14ac:dyDescent="0.3">
      <c r="A14" s="164" t="s">
        <v>43</v>
      </c>
      <c r="B14" s="6" t="s">
        <v>277</v>
      </c>
      <c r="C14" s="86" t="s">
        <v>778</v>
      </c>
      <c r="D14" s="7" t="s">
        <v>39</v>
      </c>
      <c r="E14" s="6" t="s">
        <v>5</v>
      </c>
      <c r="F14" s="8">
        <f>'Memória de Cálculo'!E320</f>
        <v>13563</v>
      </c>
      <c r="G14" s="9">
        <f>VLOOKUP(B14,CPU_Serviços!$A$7:$G$277,6,FALSE)</f>
        <v>0</v>
      </c>
      <c r="H14" s="9">
        <f>VLOOKUP(B14,CPU_Serviços!$A$7:$G$277,7,FALSE)</f>
        <v>0</v>
      </c>
      <c r="I14" s="10">
        <f>ROUND(H14*F14,2)</f>
        <v>0</v>
      </c>
      <c r="K14" s="100">
        <f t="shared" si="1"/>
        <v>0</v>
      </c>
      <c r="O14" s="231"/>
    </row>
    <row r="15" spans="1:15" ht="13.8" x14ac:dyDescent="0.3">
      <c r="A15" s="164" t="s">
        <v>44</v>
      </c>
      <c r="B15" s="6" t="s">
        <v>278</v>
      </c>
      <c r="C15" s="86" t="s">
        <v>778</v>
      </c>
      <c r="D15" s="7" t="s">
        <v>40</v>
      </c>
      <c r="E15" s="6" t="s">
        <v>5</v>
      </c>
      <c r="F15" s="8">
        <f>'Memória de Cálculo'!E359</f>
        <v>13563</v>
      </c>
      <c r="G15" s="9">
        <f>VLOOKUP(B15,CPU_Serviços!$A$7:$G$277,6,FALSE)</f>
        <v>0</v>
      </c>
      <c r="H15" s="9">
        <f>VLOOKUP(B15,CPU_Serviços!$A$7:$G$277,7,FALSE)</f>
        <v>0</v>
      </c>
      <c r="I15" s="10">
        <f t="shared" si="0"/>
        <v>0</v>
      </c>
      <c r="K15" s="100">
        <f t="shared" si="1"/>
        <v>0</v>
      </c>
      <c r="O15" s="231"/>
    </row>
    <row r="16" spans="1:15" ht="27.6" x14ac:dyDescent="0.3">
      <c r="A16" s="164" t="s">
        <v>45</v>
      </c>
      <c r="B16" s="6" t="s">
        <v>279</v>
      </c>
      <c r="C16" s="86" t="s">
        <v>778</v>
      </c>
      <c r="D16" s="7" t="s">
        <v>441</v>
      </c>
      <c r="E16" s="6" t="s">
        <v>28</v>
      </c>
      <c r="F16" s="8">
        <f>'Memória de Cálculo'!E363</f>
        <v>60</v>
      </c>
      <c r="G16" s="9">
        <f>VLOOKUP(B16,CPU_Serviços!$A$7:$G$277,6,FALSE)</f>
        <v>0</v>
      </c>
      <c r="H16" s="9">
        <f>VLOOKUP(B16,CPU_Serviços!$A$7:$G$277,7,FALSE)</f>
        <v>0</v>
      </c>
      <c r="I16" s="10">
        <f t="shared" ref="I16:I17" si="2">ROUND(H16*F16,2)</f>
        <v>0</v>
      </c>
      <c r="K16" s="100">
        <f t="shared" si="1"/>
        <v>0</v>
      </c>
      <c r="O16" s="231"/>
    </row>
    <row r="17" spans="1:15" ht="13.8" x14ac:dyDescent="0.3">
      <c r="A17" s="164" t="s">
        <v>205</v>
      </c>
      <c r="B17" s="6" t="s">
        <v>436</v>
      </c>
      <c r="C17" s="86" t="s">
        <v>778</v>
      </c>
      <c r="D17" s="7" t="s">
        <v>442</v>
      </c>
      <c r="E17" s="6" t="s">
        <v>437</v>
      </c>
      <c r="F17" s="8">
        <f>'Memória de Cálculo'!E367</f>
        <v>40</v>
      </c>
      <c r="G17" s="9">
        <f>VLOOKUP(B17,CPU_Serviços!$A$7:$G$277,6,FALSE)</f>
        <v>0</v>
      </c>
      <c r="H17" s="9">
        <f>VLOOKUP(B17,CPU_Serviços!$A$7:$G$277,7,FALSE)</f>
        <v>0</v>
      </c>
      <c r="I17" s="10">
        <f t="shared" si="2"/>
        <v>0</v>
      </c>
      <c r="K17" s="100">
        <f>ROUND(G17*F17,2)</f>
        <v>0</v>
      </c>
      <c r="O17" s="231"/>
    </row>
    <row r="18" spans="1:15" ht="15" customHeight="1" x14ac:dyDescent="0.25">
      <c r="A18" s="358"/>
      <c r="B18" s="359"/>
      <c r="C18" s="359"/>
      <c r="D18" s="359"/>
      <c r="E18" s="359"/>
      <c r="F18" s="359"/>
      <c r="G18" s="359"/>
      <c r="H18" s="359"/>
      <c r="I18" s="360"/>
      <c r="K18" s="100"/>
      <c r="O18" s="11"/>
    </row>
    <row r="19" spans="1:15" s="4" customFormat="1" ht="20.100000000000001" customHeight="1" x14ac:dyDescent="0.25">
      <c r="A19" s="350" t="s">
        <v>8</v>
      </c>
      <c r="B19" s="350"/>
      <c r="C19" s="350"/>
      <c r="D19" s="350"/>
      <c r="E19" s="350"/>
      <c r="F19" s="350"/>
      <c r="G19" s="350"/>
      <c r="H19" s="293"/>
      <c r="I19" s="294">
        <f>SUM(I6:I17)</f>
        <v>0</v>
      </c>
      <c r="K19" s="99">
        <f>SUM(K6:K17)</f>
        <v>0</v>
      </c>
      <c r="O19" s="301"/>
    </row>
    <row r="20" spans="1:15" ht="15" customHeight="1" x14ac:dyDescent="0.25">
      <c r="A20" s="105" t="s">
        <v>343</v>
      </c>
      <c r="B20" s="101"/>
      <c r="C20" s="101"/>
      <c r="D20" s="102"/>
      <c r="E20" s="101"/>
      <c r="F20" s="101"/>
      <c r="G20" s="103"/>
      <c r="H20" s="103"/>
      <c r="I20" s="104"/>
    </row>
    <row r="21" spans="1:15" ht="15" customHeight="1" x14ac:dyDescent="0.25">
      <c r="A21" s="106" t="s">
        <v>762</v>
      </c>
      <c r="B21" s="101"/>
      <c r="C21" s="101"/>
      <c r="D21" s="102"/>
      <c r="E21" s="101"/>
      <c r="F21" s="101"/>
      <c r="G21" s="103"/>
      <c r="H21" s="103"/>
      <c r="I21" s="104"/>
    </row>
    <row r="22" spans="1:15" ht="15" customHeight="1" x14ac:dyDescent="0.25">
      <c r="A22" s="106" t="s">
        <v>821</v>
      </c>
      <c r="B22" s="101"/>
      <c r="C22" s="101"/>
      <c r="D22" s="102"/>
      <c r="E22" s="101"/>
      <c r="F22" s="101"/>
      <c r="G22" s="103"/>
      <c r="H22" s="103"/>
      <c r="I22" s="104"/>
    </row>
    <row r="25" spans="1:15" ht="15" customHeight="1" x14ac:dyDescent="0.25">
      <c r="A25" s="11" t="s">
        <v>7</v>
      </c>
      <c r="D25"/>
      <c r="I25" s="11"/>
    </row>
  </sheetData>
  <mergeCells count="14">
    <mergeCell ref="M5:O5"/>
    <mergeCell ref="A1:F1"/>
    <mergeCell ref="A2:D2"/>
    <mergeCell ref="A18:I18"/>
    <mergeCell ref="K1:K2"/>
    <mergeCell ref="H1:I1"/>
    <mergeCell ref="A19:G19"/>
    <mergeCell ref="A4:A5"/>
    <mergeCell ref="B4:B5"/>
    <mergeCell ref="C4:C5"/>
    <mergeCell ref="D4:D5"/>
    <mergeCell ref="E4:E5"/>
    <mergeCell ref="F4:F5"/>
    <mergeCell ref="G4:I4"/>
  </mergeCells>
  <phoneticPr fontId="29" type="noConversion"/>
  <printOptions horizontalCentered="1" gridLines="1"/>
  <pageMargins left="0.39370078740157483" right="0.39370078740157483" top="1.2204724409448819" bottom="0.94488188976377963" header="0" footer="0"/>
  <pageSetup paperSize="9" scale="91" fitToHeight="0" orientation="landscape" r:id="rId1"/>
  <headerFooter>
    <oddHeader>&amp;L&amp;G</oddHeader>
    <oddFooter>&amp;RPrefeitura Municipal de Colatina
Travessa Avelino Guerra, 111, Sagrado Coração de Jesus
Telefone: (27) 3177-7000 | https://colatina.es.gov.br/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F21"/>
  <sheetViews>
    <sheetView view="pageBreakPreview" zoomScaleNormal="100" zoomScaleSheetLayoutView="100" workbookViewId="0">
      <selection activeCell="I17" sqref="I17"/>
    </sheetView>
  </sheetViews>
  <sheetFormatPr defaultColWidth="8.88671875" defaultRowHeight="15.6" x14ac:dyDescent="0.3"/>
  <cols>
    <col min="1" max="1" width="9.5546875" style="30" customWidth="1"/>
    <col min="2" max="2" width="7.33203125" style="30" bestFit="1" customWidth="1"/>
    <col min="3" max="3" width="85.6640625" style="30" bestFit="1" customWidth="1"/>
    <col min="4" max="4" width="10" style="30" customWidth="1"/>
    <col min="5" max="5" width="13.33203125" style="30" bestFit="1" customWidth="1"/>
    <col min="6" max="6" width="1.109375" style="30" customWidth="1"/>
    <col min="7" max="16384" width="8.88671875" style="30"/>
  </cols>
  <sheetData>
    <row r="1" spans="1:6" x14ac:dyDescent="0.3">
      <c r="A1" s="498"/>
      <c r="B1" s="498"/>
      <c r="C1" s="50" t="str">
        <f>CPU_Serviços!$C$1</f>
        <v>Prefeitura Municipal de Colatina</v>
      </c>
      <c r="D1" s="50"/>
      <c r="E1" s="50"/>
      <c r="F1" s="185"/>
    </row>
    <row r="2" spans="1:6" x14ac:dyDescent="0.3">
      <c r="A2" s="498"/>
      <c r="B2" s="498"/>
      <c r="C2" s="306" t="str">
        <f>CPU_Serviços!$C$2</f>
        <v>Secretaria Municipal de Habitação e Regularização Fundiária</v>
      </c>
      <c r="D2" s="306"/>
      <c r="E2" s="306"/>
      <c r="F2" s="186"/>
    </row>
    <row r="3" spans="1:6" ht="6.6" customHeight="1" x14ac:dyDescent="0.3">
      <c r="A3" s="498"/>
      <c r="B3" s="498"/>
      <c r="F3" s="29"/>
    </row>
    <row r="4" spans="1:6" x14ac:dyDescent="0.3">
      <c r="A4" s="498"/>
      <c r="B4" s="498"/>
      <c r="C4" s="32" t="s">
        <v>735</v>
      </c>
      <c r="D4" s="295"/>
      <c r="E4" s="295"/>
      <c r="F4" s="187"/>
    </row>
    <row r="5" spans="1:6" x14ac:dyDescent="0.3">
      <c r="A5" s="498"/>
      <c r="B5" s="498"/>
      <c r="C5" s="30" t="s">
        <v>77</v>
      </c>
      <c r="F5" s="80"/>
    </row>
    <row r="6" spans="1:6" x14ac:dyDescent="0.3">
      <c r="A6" s="499" t="s">
        <v>48</v>
      </c>
      <c r="B6" s="499"/>
      <c r="C6" s="499" t="s">
        <v>51</v>
      </c>
      <c r="D6" s="499" t="s">
        <v>5</v>
      </c>
      <c r="E6" s="500" t="s">
        <v>457</v>
      </c>
      <c r="F6" s="495"/>
    </row>
    <row r="7" spans="1:6" x14ac:dyDescent="0.3">
      <c r="A7" s="243" t="s">
        <v>49</v>
      </c>
      <c r="B7" s="243" t="s">
        <v>50</v>
      </c>
      <c r="C7" s="499"/>
      <c r="D7" s="499"/>
      <c r="E7" s="500"/>
      <c r="F7" s="496"/>
    </row>
    <row r="8" spans="1:6" x14ac:dyDescent="0.3">
      <c r="A8" s="35" t="s">
        <v>54</v>
      </c>
      <c r="B8" s="35">
        <v>10587</v>
      </c>
      <c r="C8" s="36" t="s">
        <v>31</v>
      </c>
      <c r="D8" s="35" t="s">
        <v>28</v>
      </c>
      <c r="E8" s="282"/>
      <c r="F8" s="496"/>
    </row>
    <row r="9" spans="1:6" x14ac:dyDescent="0.3">
      <c r="A9" s="35" t="s">
        <v>54</v>
      </c>
      <c r="B9" s="35">
        <v>11490</v>
      </c>
      <c r="C9" s="36" t="s">
        <v>78</v>
      </c>
      <c r="D9" s="35" t="s">
        <v>28</v>
      </c>
      <c r="E9" s="282"/>
      <c r="F9" s="496"/>
    </row>
    <row r="10" spans="1:6" x14ac:dyDescent="0.3">
      <c r="A10" s="35" t="s">
        <v>54</v>
      </c>
      <c r="B10" s="35">
        <v>40358</v>
      </c>
      <c r="C10" s="36" t="s">
        <v>79</v>
      </c>
      <c r="D10" s="35" t="s">
        <v>76</v>
      </c>
      <c r="E10" s="282"/>
      <c r="F10" s="496"/>
    </row>
    <row r="11" spans="1:6" x14ac:dyDescent="0.3">
      <c r="A11" s="35" t="s">
        <v>54</v>
      </c>
      <c r="B11" s="35">
        <v>42878</v>
      </c>
      <c r="C11" s="36" t="s">
        <v>80</v>
      </c>
      <c r="D11" s="35" t="s">
        <v>28</v>
      </c>
      <c r="E11" s="282"/>
      <c r="F11" s="496"/>
    </row>
    <row r="12" spans="1:6" x14ac:dyDescent="0.3">
      <c r="A12" s="35" t="s">
        <v>54</v>
      </c>
      <c r="B12" s="35">
        <v>42888</v>
      </c>
      <c r="C12" s="36" t="s">
        <v>81</v>
      </c>
      <c r="D12" s="35" t="s">
        <v>28</v>
      </c>
      <c r="E12" s="282"/>
      <c r="F12" s="496"/>
    </row>
    <row r="13" spans="1:6" x14ac:dyDescent="0.3">
      <c r="A13" s="158" t="s">
        <v>778</v>
      </c>
      <c r="B13" s="158" t="s">
        <v>727</v>
      </c>
      <c r="C13" s="36" t="s">
        <v>88</v>
      </c>
      <c r="D13" s="35" t="s">
        <v>5</v>
      </c>
      <c r="E13" s="282"/>
      <c r="F13" s="496"/>
    </row>
    <row r="14" spans="1:6" x14ac:dyDescent="0.3">
      <c r="A14" s="158" t="s">
        <v>778</v>
      </c>
      <c r="B14" s="158" t="s">
        <v>728</v>
      </c>
      <c r="C14" s="36" t="s">
        <v>90</v>
      </c>
      <c r="D14" s="35" t="s">
        <v>5</v>
      </c>
      <c r="E14" s="282"/>
      <c r="F14" s="496"/>
    </row>
    <row r="15" spans="1:6" x14ac:dyDescent="0.3">
      <c r="A15" s="158" t="s">
        <v>778</v>
      </c>
      <c r="B15" s="158" t="s">
        <v>729</v>
      </c>
      <c r="C15" s="36" t="s">
        <v>91</v>
      </c>
      <c r="D15" s="35" t="s">
        <v>5</v>
      </c>
      <c r="E15" s="282"/>
      <c r="F15" s="496"/>
    </row>
    <row r="16" spans="1:6" x14ac:dyDescent="0.3">
      <c r="A16" s="158" t="s">
        <v>778</v>
      </c>
      <c r="B16" s="158" t="s">
        <v>730</v>
      </c>
      <c r="C16" s="36" t="s">
        <v>92</v>
      </c>
      <c r="D16" s="35" t="s">
        <v>5</v>
      </c>
      <c r="E16" s="282"/>
      <c r="F16" s="496"/>
    </row>
    <row r="17" spans="1:6" x14ac:dyDescent="0.3">
      <c r="A17" s="158" t="s">
        <v>778</v>
      </c>
      <c r="B17" s="158" t="s">
        <v>731</v>
      </c>
      <c r="C17" s="36" t="s">
        <v>93</v>
      </c>
      <c r="D17" s="35" t="s">
        <v>260</v>
      </c>
      <c r="E17" s="282"/>
      <c r="F17" s="496"/>
    </row>
    <row r="18" spans="1:6" s="53" customFormat="1" ht="31.2" x14ac:dyDescent="0.3">
      <c r="A18" s="158" t="s">
        <v>778</v>
      </c>
      <c r="B18" s="158" t="s">
        <v>732</v>
      </c>
      <c r="C18" s="159" t="s">
        <v>413</v>
      </c>
      <c r="D18" s="158" t="s">
        <v>260</v>
      </c>
      <c r="E18" s="281"/>
      <c r="F18" s="496"/>
    </row>
    <row r="20" spans="1:6" x14ac:dyDescent="0.3">
      <c r="A20" s="39" t="s">
        <v>67</v>
      </c>
    </row>
    <row r="21" spans="1:6" x14ac:dyDescent="0.3">
      <c r="A21" s="195" t="s">
        <v>819</v>
      </c>
      <c r="B21" s="195"/>
      <c r="C21" s="195"/>
      <c r="D21" s="195"/>
      <c r="E21" s="195"/>
      <c r="F21" s="195"/>
    </row>
  </sheetData>
  <mergeCells count="6">
    <mergeCell ref="A6:B6"/>
    <mergeCell ref="C6:C7"/>
    <mergeCell ref="D6:D7"/>
    <mergeCell ref="E6:E7"/>
    <mergeCell ref="A1:B5"/>
    <mergeCell ref="F6:F18"/>
  </mergeCells>
  <phoneticPr fontId="29" type="noConversion"/>
  <pageMargins left="0.511811024" right="0.511811024" top="0.78740157499999996" bottom="0.93374999999999997" header="0.31496062000000002" footer="0.31496062000000002"/>
  <pageSetup paperSize="9" fitToHeight="0" orientation="landscape" r:id="rId1"/>
  <headerFooter>
    <oddFooter>&amp;RPrefeitura Municipal de Colatina
Travessa Avelino Guerra, 111, Sagrado Coração de Jesus
Telefone: (27) 3177-7000 | https://colatina.es.gov.br/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L14"/>
  <sheetViews>
    <sheetView view="pageBreakPreview" zoomScaleNormal="100" zoomScaleSheetLayoutView="100" workbookViewId="0">
      <selection activeCell="E8" sqref="E8:G14"/>
    </sheetView>
  </sheetViews>
  <sheetFormatPr defaultColWidth="8.88671875" defaultRowHeight="15.6" x14ac:dyDescent="0.3"/>
  <cols>
    <col min="1" max="1" width="9.44140625" style="30" bestFit="1" customWidth="1"/>
    <col min="2" max="2" width="7.6640625" style="30" customWidth="1"/>
    <col min="3" max="3" width="75.6640625" style="30" bestFit="1" customWidth="1"/>
    <col min="4" max="4" width="10" style="30" customWidth="1"/>
    <col min="5" max="6" width="12.44140625" style="30" bestFit="1" customWidth="1"/>
    <col min="7" max="7" width="13.33203125" style="30" bestFit="1" customWidth="1"/>
    <col min="8" max="8" width="13.33203125" style="53" bestFit="1" customWidth="1"/>
    <col min="9" max="9" width="12.6640625" style="30" bestFit="1" customWidth="1"/>
    <col min="10" max="10" width="13.33203125" style="30" bestFit="1" customWidth="1"/>
    <col min="11" max="11" width="8.88671875" style="30"/>
    <col min="12" max="12" width="13.33203125" style="30" bestFit="1" customWidth="1"/>
    <col min="13" max="16384" width="8.88671875" style="30"/>
  </cols>
  <sheetData>
    <row r="1" spans="1:12" x14ac:dyDescent="0.3">
      <c r="A1" s="498"/>
      <c r="B1" s="498"/>
      <c r="C1" s="50" t="str">
        <f>CPU_Serviços!$C$1</f>
        <v>Prefeitura Municipal de Colatina</v>
      </c>
      <c r="D1" s="50"/>
      <c r="E1" s="50"/>
      <c r="F1" s="50"/>
      <c r="G1" s="50"/>
      <c r="H1" s="50"/>
    </row>
    <row r="2" spans="1:12" x14ac:dyDescent="0.3">
      <c r="A2" s="498"/>
      <c r="B2" s="498"/>
      <c r="C2" s="306" t="str">
        <f>CPU_Serviços!$C$2</f>
        <v>Secretaria Municipal de Habitação e Regularização Fundiária</v>
      </c>
      <c r="D2" s="306"/>
      <c r="E2" s="306"/>
      <c r="F2" s="31"/>
      <c r="G2" s="31"/>
      <c r="H2" s="31"/>
    </row>
    <row r="3" spans="1:12" ht="6.6" customHeight="1" x14ac:dyDescent="0.3">
      <c r="A3" s="498"/>
      <c r="B3" s="498"/>
      <c r="H3" s="30"/>
    </row>
    <row r="4" spans="1:12" x14ac:dyDescent="0.3">
      <c r="A4" s="498"/>
      <c r="B4" s="498"/>
      <c r="C4" s="32" t="s">
        <v>735</v>
      </c>
      <c r="D4" s="295"/>
      <c r="E4" s="295"/>
      <c r="F4" s="295"/>
      <c r="G4" s="295"/>
      <c r="H4" s="295"/>
    </row>
    <row r="5" spans="1:12" x14ac:dyDescent="0.3">
      <c r="A5" s="498"/>
      <c r="B5" s="498"/>
      <c r="C5" s="30" t="s">
        <v>94</v>
      </c>
      <c r="H5" s="30"/>
      <c r="I5" s="471"/>
      <c r="J5" s="471"/>
      <c r="K5" s="471"/>
      <c r="L5" s="471"/>
    </row>
    <row r="6" spans="1:12" x14ac:dyDescent="0.3">
      <c r="A6" s="499" t="s">
        <v>48</v>
      </c>
      <c r="B6" s="499"/>
      <c r="C6" s="504" t="s">
        <v>723</v>
      </c>
      <c r="D6" s="499" t="s">
        <v>5</v>
      </c>
      <c r="E6" s="501" t="s">
        <v>87</v>
      </c>
      <c r="F6" s="502"/>
      <c r="G6" s="503"/>
      <c r="H6" s="504" t="s">
        <v>52</v>
      </c>
      <c r="I6" s="505"/>
      <c r="J6" s="471"/>
      <c r="K6" s="471"/>
      <c r="L6" s="471"/>
    </row>
    <row r="7" spans="1:12" x14ac:dyDescent="0.3">
      <c r="A7" s="243" t="s">
        <v>49</v>
      </c>
      <c r="B7" s="243" t="s">
        <v>50</v>
      </c>
      <c r="C7" s="504"/>
      <c r="D7" s="499"/>
      <c r="E7" s="243" t="s">
        <v>95</v>
      </c>
      <c r="F7" s="243" t="s">
        <v>96</v>
      </c>
      <c r="G7" s="243" t="s">
        <v>97</v>
      </c>
      <c r="H7" s="504"/>
      <c r="I7" s="45"/>
      <c r="J7" s="33"/>
      <c r="K7" s="45"/>
      <c r="L7" s="33"/>
    </row>
    <row r="8" spans="1:12" x14ac:dyDescent="0.3">
      <c r="A8" s="35" t="s">
        <v>82</v>
      </c>
      <c r="B8" s="35" t="s">
        <v>87</v>
      </c>
      <c r="C8" s="36" t="s">
        <v>88</v>
      </c>
      <c r="D8" s="35" t="s">
        <v>89</v>
      </c>
      <c r="E8" s="46"/>
      <c r="F8" s="46"/>
      <c r="G8" s="46"/>
      <c r="H8" s="281" t="e">
        <f>(E8+F8+G8)/(COUNTA(E8:G8))</f>
        <v>#DIV/0!</v>
      </c>
      <c r="I8" s="178"/>
      <c r="J8" s="34"/>
      <c r="K8" s="31"/>
      <c r="L8" s="34"/>
    </row>
    <row r="9" spans="1:12" x14ac:dyDescent="0.3">
      <c r="A9" s="35" t="s">
        <v>83</v>
      </c>
      <c r="B9" s="35" t="s">
        <v>87</v>
      </c>
      <c r="C9" s="36" t="s">
        <v>90</v>
      </c>
      <c r="D9" s="35" t="s">
        <v>89</v>
      </c>
      <c r="E9" s="46"/>
      <c r="F9" s="46"/>
      <c r="G9" s="46"/>
      <c r="H9" s="281" t="e">
        <f t="shared" ref="H9:H14" si="0">(E9+F9+G9)/(COUNTA(E9:G9))</f>
        <v>#DIV/0!</v>
      </c>
      <c r="I9" s="178"/>
      <c r="J9" s="34"/>
      <c r="K9" s="31"/>
      <c r="L9" s="34"/>
    </row>
    <row r="10" spans="1:12" x14ac:dyDescent="0.3">
      <c r="A10" s="35" t="s">
        <v>84</v>
      </c>
      <c r="B10" s="35" t="s">
        <v>87</v>
      </c>
      <c r="C10" s="36" t="s">
        <v>91</v>
      </c>
      <c r="D10" s="35" t="s">
        <v>89</v>
      </c>
      <c r="E10" s="46"/>
      <c r="F10" s="46"/>
      <c r="G10" s="46"/>
      <c r="H10" s="281" t="e">
        <f t="shared" si="0"/>
        <v>#DIV/0!</v>
      </c>
      <c r="I10" s="178"/>
      <c r="J10" s="34"/>
      <c r="K10" s="31"/>
      <c r="L10" s="34"/>
    </row>
    <row r="11" spans="1:12" x14ac:dyDescent="0.3">
      <c r="A11" s="35" t="s">
        <v>85</v>
      </c>
      <c r="B11" s="35" t="s">
        <v>87</v>
      </c>
      <c r="C11" s="36" t="s">
        <v>92</v>
      </c>
      <c r="D11" s="35" t="s">
        <v>89</v>
      </c>
      <c r="E11" s="46"/>
      <c r="F11" s="46"/>
      <c r="G11" s="46"/>
      <c r="H11" s="281" t="e">
        <f t="shared" si="0"/>
        <v>#DIV/0!</v>
      </c>
      <c r="I11" s="178"/>
      <c r="J11" s="34"/>
      <c r="K11" s="31"/>
      <c r="L11" s="34"/>
    </row>
    <row r="12" spans="1:12" s="53" customFormat="1" ht="31.2" x14ac:dyDescent="0.3">
      <c r="A12" s="158" t="s">
        <v>86</v>
      </c>
      <c r="B12" s="158" t="s">
        <v>87</v>
      </c>
      <c r="C12" s="159" t="s">
        <v>414</v>
      </c>
      <c r="D12" s="158" t="s">
        <v>28</v>
      </c>
      <c r="E12" s="160"/>
      <c r="F12" s="160"/>
      <c r="G12" s="160"/>
      <c r="H12" s="281" t="e">
        <f>(E12+F12+G12)/(COUNTA(E12:G12))</f>
        <v>#DIV/0!</v>
      </c>
      <c r="I12" s="178"/>
      <c r="J12" s="34"/>
    </row>
    <row r="13" spans="1:12" s="53" customFormat="1" ht="31.2" x14ac:dyDescent="0.3">
      <c r="A13" s="158" t="s">
        <v>412</v>
      </c>
      <c r="B13" s="158" t="s">
        <v>87</v>
      </c>
      <c r="C13" s="159" t="s">
        <v>433</v>
      </c>
      <c r="D13" s="158" t="s">
        <v>28</v>
      </c>
      <c r="E13" s="160"/>
      <c r="F13" s="160"/>
      <c r="G13" s="160"/>
      <c r="H13" s="281" t="e">
        <f>(E13+F13+G13)/(COUNTA(E13:G13))</f>
        <v>#DIV/0!</v>
      </c>
      <c r="I13" s="178"/>
      <c r="J13" s="34"/>
    </row>
    <row r="14" spans="1:12" x14ac:dyDescent="0.3">
      <c r="A14" s="35" t="s">
        <v>432</v>
      </c>
      <c r="B14" s="35" t="s">
        <v>87</v>
      </c>
      <c r="C14" s="36" t="s">
        <v>434</v>
      </c>
      <c r="D14" s="35" t="s">
        <v>435</v>
      </c>
      <c r="E14" s="160"/>
      <c r="F14" s="160"/>
      <c r="G14" s="160"/>
      <c r="H14" s="281" t="e">
        <f t="shared" si="0"/>
        <v>#DIV/0!</v>
      </c>
      <c r="I14" s="178"/>
      <c r="J14" s="34"/>
    </row>
  </sheetData>
  <mergeCells count="9">
    <mergeCell ref="E6:G6"/>
    <mergeCell ref="I5:L5"/>
    <mergeCell ref="A6:B6"/>
    <mergeCell ref="C6:C7"/>
    <mergeCell ref="D6:D7"/>
    <mergeCell ref="H6:H7"/>
    <mergeCell ref="I6:J6"/>
    <mergeCell ref="K6:L6"/>
    <mergeCell ref="A1:B5"/>
  </mergeCells>
  <phoneticPr fontId="29" type="noConversion"/>
  <pageMargins left="0.511811024" right="0.511811024" top="0.78740157499999996" bottom="1.05" header="0.31496062000000002" footer="0.31496062000000002"/>
  <pageSetup paperSize="9" scale="90" fitToHeight="0" orientation="landscape" r:id="rId1"/>
  <headerFooter>
    <oddFooter>&amp;RPrefeitura Municipal de Colatina
Travessa Avelino Guerra, 111, Sagrado Coração de Jesus
Telefone: (27) 3177-7000 | https://colatina.es.gov.br/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M70"/>
  <sheetViews>
    <sheetView view="pageBreakPreview" zoomScaleNormal="100" zoomScaleSheetLayoutView="100" workbookViewId="0">
      <selection activeCell="L1" sqref="L1:M1048576"/>
    </sheetView>
  </sheetViews>
  <sheetFormatPr defaultColWidth="8.88671875" defaultRowHeight="15.6" x14ac:dyDescent="0.3"/>
  <cols>
    <col min="1" max="1" width="5.109375" style="30" bestFit="1" customWidth="1"/>
    <col min="2" max="2" width="8.33203125" style="30" bestFit="1" customWidth="1"/>
    <col min="3" max="3" width="12.44140625" style="30" bestFit="1" customWidth="1"/>
    <col min="4" max="4" width="21" style="30" bestFit="1" customWidth="1"/>
    <col min="5" max="5" width="13.33203125" style="30" bestFit="1" customWidth="1"/>
    <col min="6" max="6" width="8.44140625" style="30" bestFit="1" customWidth="1"/>
    <col min="7" max="7" width="12.109375" style="30" bestFit="1" customWidth="1"/>
    <col min="8" max="8" width="0.88671875" style="30" customWidth="1"/>
    <col min="9" max="9" width="12.6640625" style="30" bestFit="1" customWidth="1"/>
    <col min="10" max="10" width="11.33203125" style="30" bestFit="1" customWidth="1"/>
    <col min="11" max="11" width="6.33203125" style="30" bestFit="1" customWidth="1"/>
    <col min="12" max="12" width="58" style="30" customWidth="1"/>
    <col min="13" max="13" width="16.88671875" style="29" bestFit="1" customWidth="1"/>
    <col min="14" max="16384" width="8.88671875" style="30"/>
  </cols>
  <sheetData>
    <row r="1" spans="1:13" x14ac:dyDescent="0.3">
      <c r="A1" s="498"/>
      <c r="B1" s="498"/>
      <c r="C1" s="50" t="str">
        <f>CPU_Serviços!$C$1</f>
        <v>Prefeitura Municipal de Colatina</v>
      </c>
      <c r="D1" s="50"/>
      <c r="E1" s="50"/>
      <c r="F1" s="50"/>
      <c r="G1" s="50"/>
      <c r="H1" s="185"/>
    </row>
    <row r="2" spans="1:13" x14ac:dyDescent="0.3">
      <c r="A2" s="498"/>
      <c r="B2" s="498"/>
      <c r="C2" s="306" t="str">
        <f>CPU_Serviços!$C$2</f>
        <v>Secretaria Municipal de Habitação e Regularização Fundiária</v>
      </c>
      <c r="D2" s="306"/>
      <c r="E2" s="306"/>
      <c r="F2" s="31"/>
      <c r="G2" s="31"/>
      <c r="H2" s="186"/>
    </row>
    <row r="3" spans="1:13" ht="6.6" customHeight="1" x14ac:dyDescent="0.3">
      <c r="A3" s="498"/>
      <c r="B3" s="498"/>
      <c r="H3" s="29"/>
    </row>
    <row r="4" spans="1:13" x14ac:dyDescent="0.3">
      <c r="A4" s="498"/>
      <c r="B4" s="498"/>
      <c r="C4" s="32" t="s">
        <v>735</v>
      </c>
      <c r="D4" s="32"/>
      <c r="E4" s="32"/>
      <c r="F4" s="32"/>
      <c r="G4" s="32"/>
      <c r="H4" s="187"/>
    </row>
    <row r="5" spans="1:13" x14ac:dyDescent="0.3">
      <c r="A5" s="498"/>
      <c r="B5" s="498"/>
      <c r="C5" s="30" t="s">
        <v>98</v>
      </c>
      <c r="H5" s="80"/>
      <c r="I5" s="50"/>
      <c r="J5" s="50"/>
      <c r="K5" s="50"/>
      <c r="L5" s="50"/>
      <c r="M5" s="33"/>
    </row>
    <row r="6" spans="1:13" x14ac:dyDescent="0.3">
      <c r="A6" s="243" t="s">
        <v>99</v>
      </c>
      <c r="B6" s="243" t="s">
        <v>100</v>
      </c>
      <c r="C6" s="243" t="s">
        <v>101</v>
      </c>
      <c r="D6" s="243" t="s">
        <v>102</v>
      </c>
      <c r="E6" s="243" t="s">
        <v>112</v>
      </c>
      <c r="F6" s="243" t="s">
        <v>5</v>
      </c>
      <c r="G6" s="243" t="s">
        <v>103</v>
      </c>
      <c r="H6" s="193"/>
      <c r="I6" s="505"/>
      <c r="J6" s="471"/>
      <c r="K6" s="50"/>
      <c r="L6" s="50"/>
      <c r="M6" s="33"/>
    </row>
    <row r="7" spans="1:13" x14ac:dyDescent="0.3">
      <c r="A7" s="245">
        <v>1</v>
      </c>
      <c r="B7" s="506" t="s">
        <v>104</v>
      </c>
      <c r="C7" s="507"/>
      <c r="D7" s="507"/>
      <c r="E7" s="507"/>
      <c r="F7" s="507"/>
      <c r="G7" s="508"/>
      <c r="H7" s="185"/>
      <c r="I7" s="244" t="s">
        <v>114</v>
      </c>
      <c r="J7" s="244" t="s">
        <v>6</v>
      </c>
      <c r="K7" s="45"/>
      <c r="L7" s="244" t="s">
        <v>100</v>
      </c>
      <c r="M7" s="244" t="s">
        <v>469</v>
      </c>
    </row>
    <row r="8" spans="1:13" x14ac:dyDescent="0.3">
      <c r="A8" s="35" t="s">
        <v>105</v>
      </c>
      <c r="B8" s="35" t="s">
        <v>109</v>
      </c>
      <c r="C8" s="35" t="s">
        <v>110</v>
      </c>
      <c r="D8" s="35" t="s">
        <v>458</v>
      </c>
      <c r="E8" s="35" t="s">
        <v>459</v>
      </c>
      <c r="F8" s="46" t="s">
        <v>113</v>
      </c>
      <c r="G8" s="46">
        <f>ROUND(I8/J8,2)</f>
        <v>30.3</v>
      </c>
      <c r="H8" s="68"/>
      <c r="I8" s="199">
        <v>1000</v>
      </c>
      <c r="J8" s="200">
        <v>33</v>
      </c>
      <c r="K8" s="31"/>
      <c r="L8" s="204" t="s">
        <v>464</v>
      </c>
      <c r="M8" s="205">
        <v>45468</v>
      </c>
    </row>
    <row r="9" spans="1:13" x14ac:dyDescent="0.3">
      <c r="A9" s="35" t="s">
        <v>106</v>
      </c>
      <c r="B9" s="35" t="s">
        <v>109</v>
      </c>
      <c r="C9" s="35" t="s">
        <v>110</v>
      </c>
      <c r="D9" s="35" t="s">
        <v>460</v>
      </c>
      <c r="E9" s="35" t="s">
        <v>461</v>
      </c>
      <c r="F9" s="46" t="s">
        <v>113</v>
      </c>
      <c r="G9" s="46">
        <f t="shared" ref="G9:G11" si="0">ROUND(I9/J9,2)</f>
        <v>40</v>
      </c>
      <c r="H9" s="68"/>
      <c r="I9" s="199">
        <v>1200</v>
      </c>
      <c r="J9" s="200">
        <v>30</v>
      </c>
      <c r="K9" s="31"/>
      <c r="L9" s="204" t="s">
        <v>463</v>
      </c>
      <c r="M9" s="205">
        <v>45468</v>
      </c>
    </row>
    <row r="10" spans="1:13" x14ac:dyDescent="0.3">
      <c r="A10" s="35" t="s">
        <v>107</v>
      </c>
      <c r="B10" s="35" t="s">
        <v>109</v>
      </c>
      <c r="C10" s="35" t="s">
        <v>110</v>
      </c>
      <c r="D10" s="35" t="s">
        <v>460</v>
      </c>
      <c r="E10" s="35" t="s">
        <v>461</v>
      </c>
      <c r="F10" s="46" t="s">
        <v>113</v>
      </c>
      <c r="G10" s="46">
        <f t="shared" si="0"/>
        <v>20.51</v>
      </c>
      <c r="H10" s="68"/>
      <c r="I10" s="199">
        <v>800</v>
      </c>
      <c r="J10" s="200">
        <v>39</v>
      </c>
      <c r="K10" s="31"/>
      <c r="L10" s="206" t="s">
        <v>462</v>
      </c>
      <c r="M10" s="205">
        <v>45468</v>
      </c>
    </row>
    <row r="11" spans="1:13" x14ac:dyDescent="0.3">
      <c r="A11" s="35" t="s">
        <v>108</v>
      </c>
      <c r="B11" s="35" t="s">
        <v>109</v>
      </c>
      <c r="C11" s="35" t="s">
        <v>111</v>
      </c>
      <c r="D11" s="35" t="s">
        <v>467</v>
      </c>
      <c r="E11" s="35" t="s">
        <v>468</v>
      </c>
      <c r="F11" s="46" t="s">
        <v>113</v>
      </c>
      <c r="G11" s="46">
        <f t="shared" si="0"/>
        <v>31.25</v>
      </c>
      <c r="H11" s="68"/>
      <c r="I11" s="199">
        <v>1500</v>
      </c>
      <c r="J11" s="200">
        <v>48</v>
      </c>
      <c r="K11" s="31"/>
      <c r="L11" s="204" t="s">
        <v>466</v>
      </c>
      <c r="M11" s="205">
        <v>45468</v>
      </c>
    </row>
    <row r="12" spans="1:13" x14ac:dyDescent="0.3">
      <c r="A12" s="509" t="s">
        <v>115</v>
      </c>
      <c r="B12" s="509"/>
      <c r="C12" s="509"/>
      <c r="D12" s="509"/>
      <c r="E12" s="509"/>
      <c r="F12" s="509"/>
      <c r="G12" s="48">
        <f>ROUND((G8+G9+G10+G11)/(COUNTA(G8:G11)),2)</f>
        <v>30.52</v>
      </c>
      <c r="H12" s="197"/>
      <c r="I12" s="36"/>
      <c r="J12" s="201">
        <f>ROUNDUP(((J11+J10+J9+J8)/(COUNTA(J8:J11))),0)</f>
        <v>38</v>
      </c>
    </row>
    <row r="13" spans="1:13" x14ac:dyDescent="0.3">
      <c r="A13" s="245">
        <v>2</v>
      </c>
      <c r="B13" s="506" t="s">
        <v>116</v>
      </c>
      <c r="C13" s="507"/>
      <c r="D13" s="507"/>
      <c r="E13" s="507"/>
      <c r="F13" s="507"/>
      <c r="G13" s="508"/>
      <c r="H13" s="185"/>
      <c r="I13" s="244" t="s">
        <v>117</v>
      </c>
      <c r="J13" s="244" t="s">
        <v>118</v>
      </c>
      <c r="K13" s="244" t="s">
        <v>6</v>
      </c>
      <c r="L13" s="244" t="s">
        <v>100</v>
      </c>
      <c r="M13" s="244" t="s">
        <v>469</v>
      </c>
    </row>
    <row r="14" spans="1:13" x14ac:dyDescent="0.3">
      <c r="A14" s="35" t="s">
        <v>105</v>
      </c>
      <c r="B14" s="35" t="s">
        <v>109</v>
      </c>
      <c r="C14" s="35" t="s">
        <v>110</v>
      </c>
      <c r="D14" s="35" t="s">
        <v>458</v>
      </c>
      <c r="E14" s="35" t="s">
        <v>459</v>
      </c>
      <c r="F14" s="46" t="s">
        <v>113</v>
      </c>
      <c r="G14" s="46">
        <f>ROUND((I14+J14)/K14,2)</f>
        <v>14.42</v>
      </c>
      <c r="H14" s="68"/>
      <c r="I14" s="199">
        <v>46</v>
      </c>
      <c r="J14" s="199">
        <v>430</v>
      </c>
      <c r="K14" s="202">
        <v>33</v>
      </c>
      <c r="L14" s="206" t="s">
        <v>465</v>
      </c>
      <c r="M14" s="205">
        <v>45468</v>
      </c>
    </row>
    <row r="15" spans="1:13" x14ac:dyDescent="0.3">
      <c r="A15" s="35" t="s">
        <v>106</v>
      </c>
      <c r="B15" s="35" t="s">
        <v>109</v>
      </c>
      <c r="C15" s="35" t="s">
        <v>110</v>
      </c>
      <c r="D15" s="35" t="s">
        <v>460</v>
      </c>
      <c r="E15" s="35" t="s">
        <v>461</v>
      </c>
      <c r="F15" s="46" t="s">
        <v>113</v>
      </c>
      <c r="G15" s="46">
        <f t="shared" ref="G15:G17" si="1">ROUND((I15+J15)/K15,2)</f>
        <v>13.93</v>
      </c>
      <c r="H15" s="68"/>
      <c r="I15" s="199">
        <v>65</v>
      </c>
      <c r="J15" s="199">
        <v>353</v>
      </c>
      <c r="K15" s="202">
        <v>30</v>
      </c>
      <c r="L15" s="206" t="s">
        <v>463</v>
      </c>
      <c r="M15" s="205">
        <v>45468</v>
      </c>
    </row>
    <row r="16" spans="1:13" x14ac:dyDescent="0.3">
      <c r="A16" s="35" t="s">
        <v>107</v>
      </c>
      <c r="B16" s="35" t="s">
        <v>109</v>
      </c>
      <c r="C16" s="35" t="s">
        <v>110</v>
      </c>
      <c r="D16" s="35" t="s">
        <v>460</v>
      </c>
      <c r="E16" s="35" t="s">
        <v>461</v>
      </c>
      <c r="F16" s="46" t="s">
        <v>113</v>
      </c>
      <c r="G16" s="46">
        <f t="shared" si="1"/>
        <v>12.03</v>
      </c>
      <c r="H16" s="68"/>
      <c r="I16" s="199">
        <v>39</v>
      </c>
      <c r="J16" s="199">
        <v>430</v>
      </c>
      <c r="K16" s="202">
        <v>39</v>
      </c>
      <c r="L16" s="206" t="s">
        <v>462</v>
      </c>
      <c r="M16" s="205">
        <v>45468</v>
      </c>
    </row>
    <row r="17" spans="1:13" x14ac:dyDescent="0.3">
      <c r="A17" s="35" t="s">
        <v>108</v>
      </c>
      <c r="B17" s="35" t="s">
        <v>109</v>
      </c>
      <c r="C17" s="35" t="s">
        <v>111</v>
      </c>
      <c r="D17" s="35" t="s">
        <v>467</v>
      </c>
      <c r="E17" s="35" t="s">
        <v>468</v>
      </c>
      <c r="F17" s="46" t="s">
        <v>113</v>
      </c>
      <c r="G17" s="46">
        <f t="shared" si="1"/>
        <v>10.38</v>
      </c>
      <c r="H17" s="68"/>
      <c r="I17" s="199">
        <v>58</v>
      </c>
      <c r="J17" s="199">
        <v>440</v>
      </c>
      <c r="K17" s="202">
        <v>48</v>
      </c>
      <c r="L17" s="206" t="s">
        <v>466</v>
      </c>
      <c r="M17" s="205">
        <v>45468</v>
      </c>
    </row>
    <row r="18" spans="1:13" x14ac:dyDescent="0.3">
      <c r="A18" s="509" t="s">
        <v>115</v>
      </c>
      <c r="B18" s="509"/>
      <c r="C18" s="509"/>
      <c r="D18" s="509"/>
      <c r="E18" s="509"/>
      <c r="F18" s="509"/>
      <c r="G18" s="48">
        <f>ROUND((G14+G15+G16+G17)/(COUNTA(G14:G17)),2)</f>
        <v>12.69</v>
      </c>
      <c r="H18" s="197"/>
      <c r="I18" s="31"/>
      <c r="J18" s="31"/>
      <c r="K18" s="31"/>
      <c r="M18" s="209"/>
    </row>
    <row r="19" spans="1:13" x14ac:dyDescent="0.3">
      <c r="A19" s="245">
        <v>3</v>
      </c>
      <c r="B19" s="506" t="s">
        <v>123</v>
      </c>
      <c r="C19" s="507"/>
      <c r="D19" s="507"/>
      <c r="E19" s="507"/>
      <c r="F19" s="507"/>
      <c r="G19" s="508"/>
      <c r="H19" s="185"/>
      <c r="I19" s="244" t="s">
        <v>126</v>
      </c>
      <c r="J19" s="244" t="s">
        <v>127</v>
      </c>
      <c r="L19" s="244" t="s">
        <v>100</v>
      </c>
      <c r="M19" s="244" t="s">
        <v>469</v>
      </c>
    </row>
    <row r="20" spans="1:13" x14ac:dyDescent="0.3">
      <c r="A20" s="35" t="s">
        <v>120</v>
      </c>
      <c r="B20" s="35" t="s">
        <v>109</v>
      </c>
      <c r="C20" s="35"/>
      <c r="D20" s="35" t="s">
        <v>143</v>
      </c>
      <c r="E20" s="35"/>
      <c r="F20" s="46" t="s">
        <v>5</v>
      </c>
      <c r="G20" s="46">
        <f>ROUND(I20+J20,2)</f>
        <v>551.03</v>
      </c>
      <c r="H20" s="68"/>
      <c r="I20" s="203">
        <v>421.04</v>
      </c>
      <c r="J20" s="203">
        <v>129.99</v>
      </c>
      <c r="L20" s="206" t="s">
        <v>472</v>
      </c>
      <c r="M20" s="207">
        <v>45468</v>
      </c>
    </row>
    <row r="21" spans="1:13" x14ac:dyDescent="0.3">
      <c r="A21" s="35" t="s">
        <v>121</v>
      </c>
      <c r="B21" s="35" t="s">
        <v>109</v>
      </c>
      <c r="C21" s="35"/>
      <c r="D21" s="35" t="s">
        <v>125</v>
      </c>
      <c r="E21" s="35"/>
      <c r="F21" s="46" t="s">
        <v>5</v>
      </c>
      <c r="G21" s="46">
        <f t="shared" ref="G21:G22" si="2">ROUND(I21+J21,2)</f>
        <v>459.56</v>
      </c>
      <c r="H21" s="68"/>
      <c r="I21" s="203">
        <v>429.9</v>
      </c>
      <c r="J21" s="203">
        <v>29.66</v>
      </c>
      <c r="L21" s="36" t="s">
        <v>470</v>
      </c>
      <c r="M21" s="207">
        <v>45468</v>
      </c>
    </row>
    <row r="22" spans="1:13" x14ac:dyDescent="0.3">
      <c r="A22" s="35" t="s">
        <v>122</v>
      </c>
      <c r="B22" s="35" t="s">
        <v>109</v>
      </c>
      <c r="C22" s="35"/>
      <c r="D22" s="35" t="s">
        <v>125</v>
      </c>
      <c r="E22" s="35"/>
      <c r="F22" s="46" t="s">
        <v>5</v>
      </c>
      <c r="G22" s="46">
        <f t="shared" si="2"/>
        <v>379.15</v>
      </c>
      <c r="H22" s="68"/>
      <c r="I22" s="203">
        <v>355</v>
      </c>
      <c r="J22" s="203">
        <v>24.15</v>
      </c>
      <c r="L22" s="206" t="s">
        <v>471</v>
      </c>
      <c r="M22" s="207">
        <v>45468</v>
      </c>
    </row>
    <row r="23" spans="1:13" x14ac:dyDescent="0.3">
      <c r="A23" s="509" t="s">
        <v>119</v>
      </c>
      <c r="B23" s="509"/>
      <c r="C23" s="509"/>
      <c r="D23" s="509"/>
      <c r="E23" s="509"/>
      <c r="F23" s="509"/>
      <c r="G23" s="48">
        <f>ROUND((G20+G21+G22)/(COUNTA(G20:G22)),2)</f>
        <v>463.25</v>
      </c>
      <c r="H23" s="197"/>
    </row>
    <row r="24" spans="1:13" x14ac:dyDescent="0.3">
      <c r="A24" s="245">
        <v>4</v>
      </c>
      <c r="B24" s="506" t="s">
        <v>132</v>
      </c>
      <c r="C24" s="507"/>
      <c r="D24" s="507"/>
      <c r="E24" s="507"/>
      <c r="F24" s="507"/>
      <c r="G24" s="508"/>
      <c r="H24" s="185"/>
      <c r="I24" s="244" t="s">
        <v>126</v>
      </c>
      <c r="J24" s="244" t="s">
        <v>127</v>
      </c>
      <c r="L24" s="244" t="s">
        <v>100</v>
      </c>
      <c r="M24" s="244" t="s">
        <v>469</v>
      </c>
    </row>
    <row r="25" spans="1:13" x14ac:dyDescent="0.3">
      <c r="A25" s="35" t="s">
        <v>129</v>
      </c>
      <c r="B25" s="35" t="s">
        <v>109</v>
      </c>
      <c r="C25" s="35"/>
      <c r="D25" s="35" t="s">
        <v>178</v>
      </c>
      <c r="E25" s="35"/>
      <c r="F25" s="46"/>
      <c r="G25" s="46">
        <f>ROUND(I25+J25,2)</f>
        <v>499</v>
      </c>
      <c r="H25" s="68"/>
      <c r="I25" s="203">
        <v>499</v>
      </c>
      <c r="J25" s="203">
        <v>0</v>
      </c>
      <c r="L25" s="206" t="s">
        <v>474</v>
      </c>
      <c r="M25" s="207">
        <v>45468</v>
      </c>
    </row>
    <row r="26" spans="1:13" x14ac:dyDescent="0.3">
      <c r="A26" s="35" t="s">
        <v>130</v>
      </c>
      <c r="B26" s="35" t="s">
        <v>109</v>
      </c>
      <c r="C26" s="35"/>
      <c r="D26" s="35" t="s">
        <v>125</v>
      </c>
      <c r="E26" s="35"/>
      <c r="F26" s="46"/>
      <c r="G26" s="46">
        <f>ROUND(I26+J26,2)</f>
        <v>371.93</v>
      </c>
      <c r="H26" s="68"/>
      <c r="I26" s="203">
        <v>249</v>
      </c>
      <c r="J26" s="203">
        <v>122.93</v>
      </c>
      <c r="L26" s="206" t="s">
        <v>473</v>
      </c>
      <c r="M26" s="207">
        <v>45468</v>
      </c>
    </row>
    <row r="27" spans="1:13" x14ac:dyDescent="0.3">
      <c r="A27" s="35" t="s">
        <v>131</v>
      </c>
      <c r="B27" s="35" t="s">
        <v>109</v>
      </c>
      <c r="C27" s="35"/>
      <c r="D27" s="35" t="s">
        <v>125</v>
      </c>
      <c r="E27" s="35"/>
      <c r="F27" s="46" t="s">
        <v>5</v>
      </c>
      <c r="G27" s="46">
        <f>ROUND(I27+J27,2)</f>
        <v>413.09</v>
      </c>
      <c r="H27" s="68"/>
      <c r="I27" s="203">
        <v>347</v>
      </c>
      <c r="J27" s="203">
        <v>66.09</v>
      </c>
      <c r="L27" s="206" t="s">
        <v>128</v>
      </c>
      <c r="M27" s="207">
        <v>45463</v>
      </c>
    </row>
    <row r="28" spans="1:13" x14ac:dyDescent="0.3">
      <c r="A28" s="509" t="s">
        <v>119</v>
      </c>
      <c r="B28" s="509"/>
      <c r="C28" s="509"/>
      <c r="D28" s="509"/>
      <c r="E28" s="509"/>
      <c r="F28" s="509"/>
      <c r="G28" s="48">
        <f>ROUND((G25+G26+G27)/(COUNTA(G25:G27)),2)</f>
        <v>428.01</v>
      </c>
      <c r="H28" s="197"/>
    </row>
    <row r="29" spans="1:13" x14ac:dyDescent="0.3">
      <c r="A29" s="245">
        <v>5</v>
      </c>
      <c r="B29" s="506" t="s">
        <v>138</v>
      </c>
      <c r="C29" s="507"/>
      <c r="D29" s="507"/>
      <c r="E29" s="507"/>
      <c r="F29" s="507"/>
      <c r="G29" s="508"/>
      <c r="H29" s="185"/>
      <c r="I29" s="244" t="s">
        <v>126</v>
      </c>
      <c r="J29" s="244" t="s">
        <v>127</v>
      </c>
      <c r="L29" s="244" t="s">
        <v>100</v>
      </c>
      <c r="M29" s="244" t="s">
        <v>469</v>
      </c>
    </row>
    <row r="30" spans="1:13" x14ac:dyDescent="0.3">
      <c r="A30" s="35" t="s">
        <v>135</v>
      </c>
      <c r="B30" s="35" t="s">
        <v>109</v>
      </c>
      <c r="C30" s="35"/>
      <c r="D30" s="35" t="s">
        <v>133</v>
      </c>
      <c r="E30" s="35"/>
      <c r="F30" s="46" t="s">
        <v>5</v>
      </c>
      <c r="G30" s="46">
        <f>ROUND(I30+J30,2)</f>
        <v>379.98</v>
      </c>
      <c r="H30" s="68"/>
      <c r="I30" s="203">
        <v>249.99</v>
      </c>
      <c r="J30" s="203">
        <v>129.99</v>
      </c>
      <c r="L30" s="206" t="s">
        <v>134</v>
      </c>
      <c r="M30" s="207">
        <v>45468</v>
      </c>
    </row>
    <row r="31" spans="1:13" x14ac:dyDescent="0.3">
      <c r="A31" s="35" t="s">
        <v>136</v>
      </c>
      <c r="B31" s="35" t="s">
        <v>109</v>
      </c>
      <c r="C31" s="35"/>
      <c r="D31" s="35" t="s">
        <v>476</v>
      </c>
      <c r="E31" s="35"/>
      <c r="F31" s="46" t="s">
        <v>5</v>
      </c>
      <c r="G31" s="46">
        <f>ROUND(I31+J31,2)</f>
        <v>330.32</v>
      </c>
      <c r="H31" s="68"/>
      <c r="I31" s="203">
        <v>210.05</v>
      </c>
      <c r="J31" s="203">
        <v>120.27</v>
      </c>
      <c r="L31" s="206" t="s">
        <v>475</v>
      </c>
      <c r="M31" s="207">
        <v>45468</v>
      </c>
    </row>
    <row r="32" spans="1:13" x14ac:dyDescent="0.3">
      <c r="A32" s="35" t="s">
        <v>137</v>
      </c>
      <c r="B32" s="35" t="s">
        <v>109</v>
      </c>
      <c r="C32" s="35"/>
      <c r="D32" s="35" t="s">
        <v>476</v>
      </c>
      <c r="E32" s="35"/>
      <c r="F32" s="46" t="s">
        <v>5</v>
      </c>
      <c r="G32" s="46">
        <f>ROUND(I32+J32,2)</f>
        <v>351.03</v>
      </c>
      <c r="H32" s="68"/>
      <c r="I32" s="203">
        <v>221.04</v>
      </c>
      <c r="J32" s="203">
        <v>129.99</v>
      </c>
      <c r="L32" s="206" t="s">
        <v>477</v>
      </c>
      <c r="M32" s="207">
        <v>45468</v>
      </c>
    </row>
    <row r="33" spans="1:13" x14ac:dyDescent="0.3">
      <c r="A33" s="509" t="s">
        <v>119</v>
      </c>
      <c r="B33" s="509"/>
      <c r="C33" s="509"/>
      <c r="D33" s="509"/>
      <c r="E33" s="509"/>
      <c r="F33" s="509"/>
      <c r="G33" s="48">
        <f>ROUND((G30+G31+G32)/(COUNTA(G30:G32)),2)</f>
        <v>353.78</v>
      </c>
      <c r="H33" s="197"/>
    </row>
    <row r="34" spans="1:13" x14ac:dyDescent="0.3">
      <c r="A34" s="245">
        <v>6</v>
      </c>
      <c r="B34" s="506" t="s">
        <v>139</v>
      </c>
      <c r="C34" s="507"/>
      <c r="D34" s="507"/>
      <c r="E34" s="507"/>
      <c r="F34" s="507"/>
      <c r="G34" s="508"/>
      <c r="H34" s="185"/>
      <c r="I34" s="244" t="s">
        <v>126</v>
      </c>
      <c r="J34" s="244" t="s">
        <v>127</v>
      </c>
      <c r="L34" s="244" t="s">
        <v>100</v>
      </c>
      <c r="M34" s="244" t="s">
        <v>469</v>
      </c>
    </row>
    <row r="35" spans="1:13" x14ac:dyDescent="0.3">
      <c r="A35" s="35" t="s">
        <v>140</v>
      </c>
      <c r="B35" s="35" t="s">
        <v>109</v>
      </c>
      <c r="C35" s="35"/>
      <c r="D35" s="35" t="s">
        <v>178</v>
      </c>
      <c r="E35" s="35"/>
      <c r="F35" s="46" t="s">
        <v>5</v>
      </c>
      <c r="G35" s="46">
        <f>ROUND(I35+J35,2)</f>
        <v>990.42</v>
      </c>
      <c r="H35" s="68"/>
      <c r="I35" s="203">
        <v>990.42</v>
      </c>
      <c r="J35" s="203">
        <v>0</v>
      </c>
      <c r="L35" s="206" t="s">
        <v>478</v>
      </c>
      <c r="M35" s="207">
        <v>45468</v>
      </c>
    </row>
    <row r="36" spans="1:13" x14ac:dyDescent="0.3">
      <c r="A36" s="35" t="s">
        <v>142</v>
      </c>
      <c r="B36" s="35" t="s">
        <v>109</v>
      </c>
      <c r="C36" s="35"/>
      <c r="D36" s="35" t="s">
        <v>125</v>
      </c>
      <c r="E36" s="35"/>
      <c r="F36" s="46" t="s">
        <v>5</v>
      </c>
      <c r="G36" s="46">
        <f>ROUND(I36+J36,2)</f>
        <v>870</v>
      </c>
      <c r="H36" s="68"/>
      <c r="I36" s="203">
        <v>870</v>
      </c>
      <c r="J36" s="203">
        <v>0</v>
      </c>
      <c r="L36" s="206" t="s">
        <v>479</v>
      </c>
      <c r="M36" s="207">
        <v>45468</v>
      </c>
    </row>
    <row r="37" spans="1:13" x14ac:dyDescent="0.3">
      <c r="A37" s="35" t="s">
        <v>144</v>
      </c>
      <c r="B37" s="35" t="s">
        <v>109</v>
      </c>
      <c r="C37" s="35"/>
      <c r="D37" s="35" t="s">
        <v>125</v>
      </c>
      <c r="E37" s="35"/>
      <c r="F37" s="46" t="s">
        <v>5</v>
      </c>
      <c r="G37" s="46">
        <f>ROUND(I37+J37,2)</f>
        <v>809</v>
      </c>
      <c r="H37" s="68"/>
      <c r="I37" s="203">
        <v>809</v>
      </c>
      <c r="J37" s="203">
        <v>0</v>
      </c>
      <c r="L37" s="206" t="s">
        <v>480</v>
      </c>
      <c r="M37" s="207">
        <v>45468</v>
      </c>
    </row>
    <row r="38" spans="1:13" x14ac:dyDescent="0.3">
      <c r="A38" s="509" t="s">
        <v>119</v>
      </c>
      <c r="B38" s="509"/>
      <c r="C38" s="509"/>
      <c r="D38" s="509"/>
      <c r="E38" s="509"/>
      <c r="F38" s="509"/>
      <c r="G38" s="48">
        <f>ROUND((G35+G36+G37)/(COUNTA(G35:G37)),2)</f>
        <v>889.81</v>
      </c>
      <c r="H38" s="197"/>
    </row>
    <row r="39" spans="1:13" x14ac:dyDescent="0.3">
      <c r="A39" s="245">
        <v>7</v>
      </c>
      <c r="B39" s="506" t="s">
        <v>145</v>
      </c>
      <c r="C39" s="507"/>
      <c r="D39" s="507"/>
      <c r="E39" s="507"/>
      <c r="F39" s="507"/>
      <c r="G39" s="508"/>
      <c r="H39" s="185"/>
      <c r="I39" s="244" t="s">
        <v>126</v>
      </c>
      <c r="J39" s="244" t="s">
        <v>127</v>
      </c>
      <c r="L39" s="244" t="s">
        <v>100</v>
      </c>
      <c r="M39" s="244" t="s">
        <v>469</v>
      </c>
    </row>
    <row r="40" spans="1:13" x14ac:dyDescent="0.3">
      <c r="A40" s="35" t="s">
        <v>146</v>
      </c>
      <c r="B40" s="35" t="s">
        <v>109</v>
      </c>
      <c r="C40" s="35"/>
      <c r="D40" s="35" t="s">
        <v>147</v>
      </c>
      <c r="E40" s="35"/>
      <c r="F40" s="46" t="s">
        <v>5</v>
      </c>
      <c r="G40" s="46">
        <f>ROUND((I40+J40),2)</f>
        <v>359</v>
      </c>
      <c r="H40" s="68"/>
      <c r="I40" s="203">
        <v>359</v>
      </c>
      <c r="J40" s="203">
        <v>0</v>
      </c>
      <c r="L40" s="206" t="s">
        <v>148</v>
      </c>
      <c r="M40" s="207">
        <v>45468</v>
      </c>
    </row>
    <row r="41" spans="1:13" x14ac:dyDescent="0.3">
      <c r="A41" s="35" t="s">
        <v>149</v>
      </c>
      <c r="B41" s="35" t="s">
        <v>109</v>
      </c>
      <c r="C41" s="35"/>
      <c r="D41" s="35" t="s">
        <v>178</v>
      </c>
      <c r="E41" s="35"/>
      <c r="F41" s="46" t="s">
        <v>5</v>
      </c>
      <c r="G41" s="46">
        <f t="shared" ref="G41:G42" si="3">ROUND((I41+J41),2)</f>
        <v>149.9</v>
      </c>
      <c r="H41" s="68"/>
      <c r="I41" s="203">
        <v>149.9</v>
      </c>
      <c r="J41" s="203">
        <v>0</v>
      </c>
      <c r="L41" s="206" t="s">
        <v>481</v>
      </c>
      <c r="M41" s="207">
        <v>45468</v>
      </c>
    </row>
    <row r="42" spans="1:13" x14ac:dyDescent="0.3">
      <c r="A42" s="35" t="s">
        <v>151</v>
      </c>
      <c r="B42" s="35" t="s">
        <v>109</v>
      </c>
      <c r="C42" s="35"/>
      <c r="D42" s="35" t="s">
        <v>483</v>
      </c>
      <c r="E42" s="35"/>
      <c r="F42" s="46" t="s">
        <v>5</v>
      </c>
      <c r="G42" s="46">
        <f t="shared" si="3"/>
        <v>194.74</v>
      </c>
      <c r="H42" s="68"/>
      <c r="I42" s="203">
        <v>194.74</v>
      </c>
      <c r="J42" s="203">
        <v>0</v>
      </c>
      <c r="L42" s="206" t="s">
        <v>482</v>
      </c>
      <c r="M42" s="207">
        <v>45468</v>
      </c>
    </row>
    <row r="43" spans="1:13" x14ac:dyDescent="0.3">
      <c r="A43" s="509" t="s">
        <v>119</v>
      </c>
      <c r="B43" s="509"/>
      <c r="C43" s="509"/>
      <c r="D43" s="509"/>
      <c r="E43" s="509"/>
      <c r="F43" s="509"/>
      <c r="G43" s="48">
        <f>ROUND((G40+G41+G42)/(COUNTA(G40:G42)),2)</f>
        <v>234.55</v>
      </c>
      <c r="H43" s="197"/>
    </row>
    <row r="44" spans="1:13" x14ac:dyDescent="0.3">
      <c r="A44" s="245">
        <v>8</v>
      </c>
      <c r="B44" s="506" t="s">
        <v>484</v>
      </c>
      <c r="C44" s="507"/>
      <c r="D44" s="507"/>
      <c r="E44" s="507"/>
      <c r="F44" s="507"/>
      <c r="G44" s="508"/>
      <c r="H44" s="185"/>
      <c r="I44" s="244" t="s">
        <v>126</v>
      </c>
      <c r="J44" s="244" t="s">
        <v>127</v>
      </c>
      <c r="L44" s="244" t="s">
        <v>100</v>
      </c>
      <c r="M44" s="244" t="s">
        <v>469</v>
      </c>
    </row>
    <row r="45" spans="1:13" x14ac:dyDescent="0.3">
      <c r="A45" s="35" t="s">
        <v>153</v>
      </c>
      <c r="B45" s="35" t="s">
        <v>109</v>
      </c>
      <c r="C45" s="35"/>
      <c r="D45" s="35" t="s">
        <v>141</v>
      </c>
      <c r="E45" s="35"/>
      <c r="F45" s="46" t="s">
        <v>5</v>
      </c>
      <c r="G45" s="46">
        <f>ROUND(I45+J45,2)</f>
        <v>3749</v>
      </c>
      <c r="H45" s="68"/>
      <c r="I45" s="203">
        <v>3749</v>
      </c>
      <c r="J45" s="203">
        <v>0</v>
      </c>
      <c r="L45" s="206" t="s">
        <v>485</v>
      </c>
      <c r="M45" s="207">
        <v>45468</v>
      </c>
    </row>
    <row r="46" spans="1:13" x14ac:dyDescent="0.3">
      <c r="A46" s="35" t="s">
        <v>154</v>
      </c>
      <c r="B46" s="35" t="s">
        <v>109</v>
      </c>
      <c r="C46" s="35"/>
      <c r="D46" s="35" t="s">
        <v>156</v>
      </c>
      <c r="E46" s="35"/>
      <c r="F46" s="46" t="s">
        <v>5</v>
      </c>
      <c r="G46" s="46">
        <f>ROUND(I46+J46,2)</f>
        <v>4692.05</v>
      </c>
      <c r="H46" s="68"/>
      <c r="I46" s="203">
        <v>4692.05</v>
      </c>
      <c r="J46" s="203">
        <v>0</v>
      </c>
      <c r="L46" s="206" t="s">
        <v>486</v>
      </c>
      <c r="M46" s="207">
        <v>45468</v>
      </c>
    </row>
    <row r="47" spans="1:13" x14ac:dyDescent="0.3">
      <c r="A47" s="35" t="s">
        <v>155</v>
      </c>
      <c r="B47" s="35" t="s">
        <v>109</v>
      </c>
      <c r="C47" s="35"/>
      <c r="D47" s="35" t="s">
        <v>141</v>
      </c>
      <c r="E47" s="35"/>
      <c r="F47" s="46" t="s">
        <v>5</v>
      </c>
      <c r="G47" s="46">
        <f>ROUND(I47+J47,2)</f>
        <v>3647</v>
      </c>
      <c r="H47" s="68"/>
      <c r="I47" s="203">
        <v>3647</v>
      </c>
      <c r="J47" s="203">
        <v>0</v>
      </c>
      <c r="L47" s="206" t="s">
        <v>487</v>
      </c>
      <c r="M47" s="207">
        <v>45468</v>
      </c>
    </row>
    <row r="48" spans="1:13" x14ac:dyDescent="0.3">
      <c r="A48" s="509" t="s">
        <v>119</v>
      </c>
      <c r="B48" s="509"/>
      <c r="C48" s="509"/>
      <c r="D48" s="509"/>
      <c r="E48" s="509"/>
      <c r="F48" s="509"/>
      <c r="G48" s="48">
        <f>ROUND((G45+G46+G47)/(COUNTA(G45:G47)),2)</f>
        <v>4029.35</v>
      </c>
      <c r="H48" s="197"/>
      <c r="I48" s="161"/>
    </row>
    <row r="49" spans="1:13" x14ac:dyDescent="0.3">
      <c r="A49" s="510" t="s">
        <v>157</v>
      </c>
      <c r="B49" s="510"/>
      <c r="C49" s="510"/>
      <c r="D49" s="510"/>
      <c r="E49" s="510"/>
      <c r="F49" s="510"/>
      <c r="G49" s="49">
        <f>SUM(G48,G43,G38)</f>
        <v>5153.7099999999991</v>
      </c>
      <c r="H49" s="198"/>
    </row>
    <row r="50" spans="1:13" x14ac:dyDescent="0.3">
      <c r="A50" s="245">
        <v>9</v>
      </c>
      <c r="B50" s="506" t="s">
        <v>488</v>
      </c>
      <c r="C50" s="507"/>
      <c r="D50" s="507"/>
      <c r="E50" s="507"/>
      <c r="F50" s="507"/>
      <c r="G50" s="508"/>
      <c r="H50" s="185"/>
      <c r="I50" s="244" t="s">
        <v>126</v>
      </c>
      <c r="J50" s="244" t="s">
        <v>127</v>
      </c>
      <c r="L50" s="244" t="s">
        <v>100</v>
      </c>
      <c r="M50" s="244" t="s">
        <v>469</v>
      </c>
    </row>
    <row r="51" spans="1:13" x14ac:dyDescent="0.3">
      <c r="A51" s="35" t="s">
        <v>158</v>
      </c>
      <c r="B51" s="35" t="s">
        <v>109</v>
      </c>
      <c r="C51" s="35"/>
      <c r="D51" s="35" t="s">
        <v>141</v>
      </c>
      <c r="E51" s="35"/>
      <c r="F51" s="46" t="s">
        <v>5</v>
      </c>
      <c r="G51" s="46">
        <v>3049</v>
      </c>
      <c r="H51" s="68"/>
      <c r="I51" s="203">
        <v>2500</v>
      </c>
      <c r="J51" s="203">
        <v>0</v>
      </c>
      <c r="L51" s="206" t="s">
        <v>489</v>
      </c>
      <c r="M51" s="207">
        <v>45468</v>
      </c>
    </row>
    <row r="52" spans="1:13" x14ac:dyDescent="0.3">
      <c r="A52" s="35" t="s">
        <v>159</v>
      </c>
      <c r="B52" s="35" t="s">
        <v>109</v>
      </c>
      <c r="C52" s="35"/>
      <c r="D52" s="35" t="s">
        <v>141</v>
      </c>
      <c r="E52" s="35"/>
      <c r="F52" s="46" t="s">
        <v>5</v>
      </c>
      <c r="G52" s="46">
        <v>2249.1</v>
      </c>
      <c r="H52" s="68"/>
      <c r="I52" s="203">
        <v>2452</v>
      </c>
      <c r="J52" s="203">
        <v>0</v>
      </c>
      <c r="L52" s="206" t="s">
        <v>490</v>
      </c>
      <c r="M52" s="207">
        <v>45468</v>
      </c>
    </row>
    <row r="53" spans="1:13" x14ac:dyDescent="0.3">
      <c r="A53" s="35" t="s">
        <v>160</v>
      </c>
      <c r="B53" s="35" t="s">
        <v>109</v>
      </c>
      <c r="C53" s="35"/>
      <c r="D53" s="35" t="s">
        <v>143</v>
      </c>
      <c r="E53" s="35"/>
      <c r="F53" s="46" t="s">
        <v>5</v>
      </c>
      <c r="G53" s="46">
        <v>2161.08</v>
      </c>
      <c r="H53" s="68"/>
      <c r="I53" s="203">
        <v>2199</v>
      </c>
      <c r="J53" s="203">
        <v>0</v>
      </c>
      <c r="L53" s="206" t="s">
        <v>491</v>
      </c>
      <c r="M53" s="207">
        <v>45468</v>
      </c>
    </row>
    <row r="54" spans="1:13" x14ac:dyDescent="0.3">
      <c r="A54" s="509" t="s">
        <v>119</v>
      </c>
      <c r="B54" s="509"/>
      <c r="C54" s="509"/>
      <c r="D54" s="509"/>
      <c r="E54" s="509"/>
      <c r="F54" s="509"/>
      <c r="G54" s="48">
        <f>ROUND((G51+G52+G53)/(COUNTA(G51:G53)),2)</f>
        <v>2486.39</v>
      </c>
      <c r="H54" s="197"/>
    </row>
    <row r="55" spans="1:13" x14ac:dyDescent="0.3">
      <c r="A55" s="510" t="s">
        <v>157</v>
      </c>
      <c r="B55" s="510"/>
      <c r="C55" s="510"/>
      <c r="D55" s="510"/>
      <c r="E55" s="510"/>
      <c r="F55" s="510"/>
      <c r="G55" s="49">
        <f>SUM(G54,G43,G38)</f>
        <v>3610.75</v>
      </c>
      <c r="H55" s="198"/>
    </row>
    <row r="56" spans="1:13" x14ac:dyDescent="0.3">
      <c r="A56" s="245">
        <v>10</v>
      </c>
      <c r="B56" s="506" t="s">
        <v>161</v>
      </c>
      <c r="C56" s="507"/>
      <c r="D56" s="507"/>
      <c r="E56" s="507"/>
      <c r="F56" s="507"/>
      <c r="G56" s="508"/>
      <c r="H56" s="185"/>
      <c r="I56" s="244" t="s">
        <v>126</v>
      </c>
      <c r="J56" s="244" t="s">
        <v>127</v>
      </c>
      <c r="L56" s="244" t="s">
        <v>100</v>
      </c>
      <c r="M56" s="244" t="s">
        <v>469</v>
      </c>
    </row>
    <row r="57" spans="1:13" x14ac:dyDescent="0.3">
      <c r="A57" s="35" t="s">
        <v>162</v>
      </c>
      <c r="B57" s="35" t="s">
        <v>109</v>
      </c>
      <c r="C57" s="35"/>
      <c r="D57" s="35" t="s">
        <v>163</v>
      </c>
      <c r="E57" s="35"/>
      <c r="F57" s="46" t="s">
        <v>5</v>
      </c>
      <c r="G57" s="46">
        <f>ROUND(I57+J57,2)</f>
        <v>66.8</v>
      </c>
      <c r="H57" s="68"/>
      <c r="I57" s="203">
        <v>57.9</v>
      </c>
      <c r="J57" s="203">
        <v>8.9</v>
      </c>
      <c r="L57" s="206" t="s">
        <v>164</v>
      </c>
      <c r="M57" s="207">
        <v>45468</v>
      </c>
    </row>
    <row r="58" spans="1:13" x14ac:dyDescent="0.3">
      <c r="A58" s="35" t="s">
        <v>165</v>
      </c>
      <c r="B58" s="35" t="s">
        <v>109</v>
      </c>
      <c r="C58" s="35"/>
      <c r="D58" s="35" t="s">
        <v>143</v>
      </c>
      <c r="E58" s="35"/>
      <c r="F58" s="46" t="s">
        <v>5</v>
      </c>
      <c r="G58" s="46">
        <f>ROUND(I58+J58,2)</f>
        <v>70.16</v>
      </c>
      <c r="H58" s="68"/>
      <c r="I58" s="203">
        <v>48.6</v>
      </c>
      <c r="J58" s="203">
        <v>21.56</v>
      </c>
      <c r="L58" s="206" t="s">
        <v>492</v>
      </c>
      <c r="M58" s="207">
        <v>45468</v>
      </c>
    </row>
    <row r="59" spans="1:13" x14ac:dyDescent="0.3">
      <c r="A59" s="35" t="s">
        <v>166</v>
      </c>
      <c r="B59" s="35" t="s">
        <v>109</v>
      </c>
      <c r="C59" s="35"/>
      <c r="D59" s="35" t="s">
        <v>125</v>
      </c>
      <c r="E59" s="35"/>
      <c r="F59" s="46" t="s">
        <v>5</v>
      </c>
      <c r="G59" s="46">
        <f>ROUND(I59+J59,2)</f>
        <v>88.27</v>
      </c>
      <c r="H59" s="68"/>
      <c r="I59" s="203">
        <v>54.05</v>
      </c>
      <c r="J59" s="203">
        <v>34.22</v>
      </c>
      <c r="L59" s="206" t="s">
        <v>493</v>
      </c>
      <c r="M59" s="207">
        <v>45468</v>
      </c>
    </row>
    <row r="60" spans="1:13" x14ac:dyDescent="0.3">
      <c r="A60" s="509" t="s">
        <v>119</v>
      </c>
      <c r="B60" s="509"/>
      <c r="C60" s="509"/>
      <c r="D60" s="509"/>
      <c r="E60" s="509"/>
      <c r="F60" s="509"/>
      <c r="G60" s="48">
        <f>ROUND((G57+G58+G59)/(COUNTA(G57:G59)),2)</f>
        <v>75.08</v>
      </c>
      <c r="H60" s="197"/>
    </row>
    <row r="61" spans="1:13" x14ac:dyDescent="0.3">
      <c r="A61" s="245">
        <v>11</v>
      </c>
      <c r="B61" s="506" t="s">
        <v>495</v>
      </c>
      <c r="C61" s="507"/>
      <c r="D61" s="507"/>
      <c r="E61" s="507"/>
      <c r="F61" s="507"/>
      <c r="G61" s="508"/>
      <c r="H61" s="185"/>
      <c r="I61" s="244" t="s">
        <v>126</v>
      </c>
      <c r="J61" s="244" t="s">
        <v>127</v>
      </c>
      <c r="L61" s="244" t="s">
        <v>100</v>
      </c>
      <c r="M61" s="244" t="s">
        <v>469</v>
      </c>
    </row>
    <row r="62" spans="1:13" x14ac:dyDescent="0.3">
      <c r="A62" s="35" t="s">
        <v>167</v>
      </c>
      <c r="B62" s="35" t="s">
        <v>109</v>
      </c>
      <c r="C62" s="35"/>
      <c r="D62" s="35" t="s">
        <v>150</v>
      </c>
      <c r="E62" s="35"/>
      <c r="F62" s="46" t="s">
        <v>5</v>
      </c>
      <c r="G62" s="46">
        <f>ROUND(I62+J62,2)</f>
        <v>2377.35</v>
      </c>
      <c r="H62" s="68"/>
      <c r="I62" s="203">
        <v>2312.1</v>
      </c>
      <c r="J62" s="203">
        <v>65.25</v>
      </c>
      <c r="L62" s="36" t="s">
        <v>494</v>
      </c>
      <c r="M62" s="207">
        <v>45468</v>
      </c>
    </row>
    <row r="63" spans="1:13" x14ac:dyDescent="0.3">
      <c r="A63" s="35" t="s">
        <v>168</v>
      </c>
      <c r="B63" s="35" t="s">
        <v>109</v>
      </c>
      <c r="C63" s="35"/>
      <c r="D63" s="35" t="s">
        <v>178</v>
      </c>
      <c r="E63" s="35"/>
      <c r="F63" s="46" t="s">
        <v>5</v>
      </c>
      <c r="G63" s="46">
        <f>ROUND(I63+J63,2)</f>
        <v>2899.55</v>
      </c>
      <c r="H63" s="68"/>
      <c r="I63" s="203">
        <v>2699</v>
      </c>
      <c r="J63" s="203">
        <v>200.55</v>
      </c>
      <c r="L63" s="206" t="s">
        <v>496</v>
      </c>
      <c r="M63" s="207">
        <v>45468</v>
      </c>
    </row>
    <row r="64" spans="1:13" x14ac:dyDescent="0.3">
      <c r="A64" s="35" t="s">
        <v>169</v>
      </c>
      <c r="B64" s="35" t="s">
        <v>109</v>
      </c>
      <c r="C64" s="35"/>
      <c r="D64" s="35" t="s">
        <v>483</v>
      </c>
      <c r="E64" s="35"/>
      <c r="F64" s="46" t="s">
        <v>5</v>
      </c>
      <c r="G64" s="46">
        <f>ROUND(I64+J64,2)</f>
        <v>2735.68</v>
      </c>
      <c r="H64" s="68"/>
      <c r="I64" s="203">
        <v>2549</v>
      </c>
      <c r="J64" s="203">
        <v>186.68</v>
      </c>
      <c r="L64" s="206" t="s">
        <v>497</v>
      </c>
      <c r="M64" s="207">
        <v>45468</v>
      </c>
    </row>
    <row r="65" spans="1:13" x14ac:dyDescent="0.3">
      <c r="A65" s="509" t="s">
        <v>119</v>
      </c>
      <c r="B65" s="509"/>
      <c r="C65" s="509"/>
      <c r="D65" s="509"/>
      <c r="E65" s="509"/>
      <c r="F65" s="509"/>
      <c r="G65" s="48">
        <f>ROUND((G62+G63+G64)/(COUNTA(G62:G64)),2)</f>
        <v>2670.86</v>
      </c>
      <c r="H65" s="197"/>
    </row>
    <row r="66" spans="1:13" x14ac:dyDescent="0.3">
      <c r="A66" s="245">
        <v>12</v>
      </c>
      <c r="B66" s="506" t="s">
        <v>171</v>
      </c>
      <c r="C66" s="507"/>
      <c r="D66" s="507"/>
      <c r="E66" s="507"/>
      <c r="F66" s="507"/>
      <c r="G66" s="508"/>
      <c r="H66" s="185"/>
      <c r="I66" s="244" t="s">
        <v>126</v>
      </c>
      <c r="J66" s="244" t="s">
        <v>127</v>
      </c>
      <c r="L66" s="244" t="s">
        <v>100</v>
      </c>
      <c r="M66" s="244" t="s">
        <v>469</v>
      </c>
    </row>
    <row r="67" spans="1:13" x14ac:dyDescent="0.3">
      <c r="A67" s="35" t="s">
        <v>172</v>
      </c>
      <c r="B67" s="35" t="s">
        <v>109</v>
      </c>
      <c r="C67" s="35"/>
      <c r="D67" s="35" t="s">
        <v>143</v>
      </c>
      <c r="E67" s="35"/>
      <c r="F67" s="46" t="s">
        <v>5</v>
      </c>
      <c r="G67" s="46">
        <f>ROUND(I67+J67,2)</f>
        <v>3253.58</v>
      </c>
      <c r="H67" s="68"/>
      <c r="I67" s="203">
        <v>3149.1</v>
      </c>
      <c r="J67" s="203">
        <v>104.48</v>
      </c>
      <c r="L67" s="206" t="s">
        <v>173</v>
      </c>
      <c r="M67" s="207">
        <v>45468</v>
      </c>
    </row>
    <row r="68" spans="1:13" x14ac:dyDescent="0.3">
      <c r="A68" s="35" t="s">
        <v>174</v>
      </c>
      <c r="B68" s="35" t="s">
        <v>109</v>
      </c>
      <c r="C68" s="35"/>
      <c r="D68" s="35" t="s">
        <v>175</v>
      </c>
      <c r="E68" s="35"/>
      <c r="F68" s="46" t="s">
        <v>5</v>
      </c>
      <c r="G68" s="46">
        <f>ROUND(I68+J68,2)</f>
        <v>3843</v>
      </c>
      <c r="H68" s="68"/>
      <c r="I68" s="203">
        <v>3769</v>
      </c>
      <c r="J68" s="203">
        <v>74</v>
      </c>
      <c r="L68" s="206" t="s">
        <v>176</v>
      </c>
      <c r="M68" s="207">
        <v>45468</v>
      </c>
    </row>
    <row r="69" spans="1:13" x14ac:dyDescent="0.3">
      <c r="A69" s="35" t="s">
        <v>177</v>
      </c>
      <c r="B69" s="35" t="s">
        <v>109</v>
      </c>
      <c r="C69" s="35"/>
      <c r="D69" s="35" t="s">
        <v>178</v>
      </c>
      <c r="E69" s="35"/>
      <c r="F69" s="46" t="s">
        <v>5</v>
      </c>
      <c r="G69" s="46">
        <f>ROUND(I69+J69,2)</f>
        <v>3216.8</v>
      </c>
      <c r="H69" s="68"/>
      <c r="I69" s="203">
        <v>3216.8</v>
      </c>
      <c r="J69" s="203">
        <v>0</v>
      </c>
      <c r="L69" s="206" t="s">
        <v>179</v>
      </c>
      <c r="M69" s="207">
        <v>45468</v>
      </c>
    </row>
    <row r="70" spans="1:13" x14ac:dyDescent="0.3">
      <c r="A70" s="509" t="s">
        <v>119</v>
      </c>
      <c r="B70" s="509"/>
      <c r="C70" s="509"/>
      <c r="D70" s="509"/>
      <c r="E70" s="509"/>
      <c r="F70" s="509"/>
      <c r="G70" s="48">
        <f>ROUND((G67+G68+G69)/(COUNTA(G67:G69)),2)</f>
        <v>3437.79</v>
      </c>
      <c r="H70" s="197"/>
    </row>
  </sheetData>
  <mergeCells count="28">
    <mergeCell ref="A23:F23"/>
    <mergeCell ref="I6:J6"/>
    <mergeCell ref="A1:B5"/>
    <mergeCell ref="B7:G7"/>
    <mergeCell ref="A12:F12"/>
    <mergeCell ref="B13:G13"/>
    <mergeCell ref="A18:F18"/>
    <mergeCell ref="B19:G19"/>
    <mergeCell ref="B50:G50"/>
    <mergeCell ref="B24:G24"/>
    <mergeCell ref="A28:F28"/>
    <mergeCell ref="B29:G29"/>
    <mergeCell ref="A33:F33"/>
    <mergeCell ref="B34:G34"/>
    <mergeCell ref="A38:F38"/>
    <mergeCell ref="B39:G39"/>
    <mergeCell ref="A43:F43"/>
    <mergeCell ref="B44:G44"/>
    <mergeCell ref="A48:F48"/>
    <mergeCell ref="A49:F49"/>
    <mergeCell ref="B66:G66"/>
    <mergeCell ref="A70:F70"/>
    <mergeCell ref="A54:F54"/>
    <mergeCell ref="A55:F55"/>
    <mergeCell ref="B56:G56"/>
    <mergeCell ref="A60:F60"/>
    <mergeCell ref="B61:G61"/>
    <mergeCell ref="A65:F65"/>
  </mergeCells>
  <hyperlinks>
    <hyperlink ref="L69" r:id="rId1" display="https://www.amazon.com.br/Projetor-Powerlite-L%C3%BAmens-Branco-Bivolt/dp/B087271SYH/ref=asc_df_B087271SYH/?tag=googleshopp00-20&amp;linkCode=df0&amp;hvadid=379799240111&amp;hvpos=&amp;hvnetw=g&amp;hvrand=6527003303152008811&amp;hvpone=&amp;hvptwo=&amp;hvqmt=&amp;hvdev=c&amp;hvdvcmdl=&amp;hvlocint=&amp;hvlocphy=1001547&amp;hvtargid=pla-982292920263&amp;psc=1" xr:uid="{8DEDFEEA-1FBF-473A-9BED-447226B1D9BE}"/>
    <hyperlink ref="L67" r:id="rId2" display="https://www.magazineluiza.com.br/projetor-epson-powerlite-e20-xga-portatil-3400-lumens-3lcd-hdmi-branco/p/230187900/et/eapj/?&amp;=&amp;seller_id=magazineluiza&amp;utm_source=google&amp;utm_medium=pla&amp;utm_campaign=&amp;partner_id=58953&amp;gclid=Cj0KCQjw5oiMBhDtARIsAJi0qk0X3umKb9mGCAzbXBXs1Bx8y1VjmXWd35pG4JsPKEQb14Fs3FIyuEQaAnWXEALw_wcB&amp;gclsrc=aw.ds" xr:uid="{FE4604C7-4EB6-405C-AE1E-88742E65B95E}"/>
    <hyperlink ref="L64" r:id="rId3" xr:uid="{370F8A00-5D56-4B9A-87DB-C33A4761EC7E}"/>
    <hyperlink ref="L63" r:id="rId4" xr:uid="{36A629D3-4731-4B3C-BFAF-CAC207A4748C}"/>
    <hyperlink ref="L59" r:id="rId5" xr:uid="{78AED214-3E93-4B16-AE46-668CECD43DA8}"/>
    <hyperlink ref="L58" r:id="rId6" xr:uid="{794B41CF-E687-45AD-90D4-262A8C36CD45}"/>
    <hyperlink ref="L57" r:id="rId7" xr:uid="{0162B450-D56B-4817-B2B9-9C1EA8C8C738}"/>
    <hyperlink ref="L53" r:id="rId8" xr:uid="{D68F1C04-0ED5-4A71-BA86-3895DFC4520C}"/>
    <hyperlink ref="L52" r:id="rId9" xr:uid="{111263B0-D35D-4C38-998F-0A409ADF4333}"/>
    <hyperlink ref="L51" r:id="rId10" xr:uid="{4B6D8FCF-2846-4722-931F-6F67C06572E8}"/>
    <hyperlink ref="L47" r:id="rId11" xr:uid="{40BE4B4D-51B9-4840-BF50-EA8C424C6CC1}"/>
    <hyperlink ref="L46" r:id="rId12" xr:uid="{46C1ECA7-74E1-4CE9-960E-37C10A85A044}"/>
    <hyperlink ref="L45" r:id="rId13" xr:uid="{AEFB2BAE-1B83-4729-9B84-89BF8D92BF50}"/>
    <hyperlink ref="L42" r:id="rId14" xr:uid="{054437AB-340D-4F34-9314-F8F57E238919}"/>
    <hyperlink ref="L41" r:id="rId15" xr:uid="{9D202F28-6AB0-4110-AB7B-1BFF0361D7AC}"/>
    <hyperlink ref="L40" r:id="rId16" xr:uid="{BA617D69-7BB9-498C-A5F6-A50FB0986A6A}"/>
    <hyperlink ref="L37" r:id="rId17" location="searchVariation=MLB20796829&amp;position=3&amp;search_layout=stack&amp;type=product&amp;tracking_id=f20fb669-0ee0-4f67-b5ec-a11334d75068" xr:uid="{B896828E-574D-4037-92FD-4521D9FC0261}"/>
    <hyperlink ref="L36" r:id="rId18" location="searchVariation=178045365665&amp;position=2&amp;search_layout=grid&amp;type=item&amp;tracking_id=6f072e91-63a1-4d87-9d0e-799314c87fad" display="https://produto.mercadolivre.com.br/MLB-3577585480-monitor-dell-22-widescreen-se2216h-vga-hdmi-full-hd-led-_JM?searchVariation=178045365665#searchVariation=178045365665&amp;position=2&amp;search_layout=grid&amp;type=item&amp;tracking_id=6f072e91-63a1-4d87-9d0e-799314c87fad" xr:uid="{7749FA16-3754-45CA-9742-8FA7C5F396F5}"/>
    <hyperlink ref="L35" r:id="rId19" xr:uid="{FBE6DA7F-F346-4F8E-AD17-44E4A9F5A939}"/>
    <hyperlink ref="L32" r:id="rId20" xr:uid="{20BE4061-45A9-4C13-BC33-23774EA76F8E}"/>
    <hyperlink ref="L31" r:id="rId21" xr:uid="{9D161237-1567-4964-892E-1C02EBECEFAF}"/>
    <hyperlink ref="L30" r:id="rId22" xr:uid="{C4A7EB2B-4444-4BAB-A37F-19F2F64F5E97}"/>
    <hyperlink ref="L25" r:id="rId23" xr:uid="{DFB44CDC-F4BC-4F71-8BE1-4249D4D08378}"/>
    <hyperlink ref="L26" r:id="rId24" xr:uid="{5903C25D-AF49-43A5-ACCD-7CD86B3227F7}"/>
    <hyperlink ref="L27" r:id="rId25" xr:uid="{38557B0D-4757-4E86-9236-D36453C971E9}"/>
    <hyperlink ref="L20" r:id="rId26" xr:uid="{84E1E5C4-B1B5-4F3B-933B-EF81BE712D4B}"/>
    <hyperlink ref="L22" r:id="rId27" location="is_advertising=true&amp;position=12&amp;search_layout=grid&amp;type=pad&amp;tracking_id=00759125-ecd9-427a-91f2-9c33a753b634&amp;is_advertising=true&amp;ad_domain=VQCATCORE_LST&amp;ad_position=12&amp;ad_click_id=ODUzYmQwMDEtMjdhYy00M2JjLWJjZDEtNDQ1NjE3Mzk4NmU3" display="https://produto.mercadolivre.com.br/MLB-3482100427-mesa-escrivaninha-office-durango-com-2-gavetas-em-l-de-canto-_JM#is_advertising=true&amp;position=12&amp;search_layout=grid&amp;type=pad&amp;tracking_id=00759125-ecd9-427a-91f2-9c33a753b634&amp;is_advertising=true&amp;ad_domain=VQCATCORE_LST&amp;ad_position=12&amp;ad_click_id=ODUzYmQwMDEtMjdhYy00M2JjLWJjZDEtNDQ1NjE3Mzk4NmU3" xr:uid="{D76342EE-E036-426E-8E74-C817D048CE6B}"/>
    <hyperlink ref="L17" r:id="rId28" xr:uid="{D9F894B9-AD55-4C5E-A37E-2E53060DE807}"/>
    <hyperlink ref="L11" r:id="rId29" xr:uid="{5565F9FB-F58E-409A-A122-3FEBBEFA1EE1}"/>
    <hyperlink ref="L14" r:id="rId30" xr:uid="{C9B57489-F381-45E4-95E6-0C2076019D82}"/>
    <hyperlink ref="L8" r:id="rId31" xr:uid="{3C7993AD-9B19-4FD6-A070-1AA31FBEDA19}"/>
    <hyperlink ref="L15" r:id="rId32" xr:uid="{E8D5EAF6-1D91-43BF-AB59-774C5C006BD5}"/>
    <hyperlink ref="L9" r:id="rId33" xr:uid="{A82FB9F1-0907-4AB8-96C9-0E5DE0FDEB17}"/>
    <hyperlink ref="L10" r:id="rId34" xr:uid="{BE7B6DF6-07AF-45C5-90A1-FCF12C044082}"/>
    <hyperlink ref="L16" r:id="rId35" xr:uid="{12422EF4-AC8E-410C-9EC3-E76792F5F515}"/>
    <hyperlink ref="L68" r:id="rId36" display="https://www.fastshop.com.br/web/p/d/EPV11H981020_PRD/projetor-epson-3400-lumens-branco-v11h981020-fast?partner=parceiro-google&amp;cm_mmc=cpc_Shopping-_-EPV11H981020_PRD&amp;gclid=Cj0KCQjw5oiMBhDtARIsAJi0qk0hpVO-oYz1DXVOgJ0Z8l7MoBUB54xbL1e1jq4K6U0D9yWg4PJuc5QaAu80EALw_wcB" xr:uid="{F7926D2C-584D-4BE4-B26A-C1CA58AA96ED}"/>
  </hyperlinks>
  <pageMargins left="0.51181102362204722" right="0.51181102362204722" top="0.78740157480314965" bottom="0.98425196850393704" header="0.31496062992125984" footer="0.31496062992125984"/>
  <pageSetup paperSize="9" scale="84" fitToHeight="2" orientation="portrait" r:id="rId37"/>
  <headerFooter>
    <oddFooter>&amp;RPrefeitura Municipal de Colatina
Travessa Avelino Guerra, 111, Sagrado Coração de Jesus
Telefone: (27) 3177-7000 | https://colatina.es.gov.br/</oddFooter>
  </headerFooter>
  <rowBreaks count="1" manualBreakCount="1">
    <brk id="33" max="10" man="1"/>
  </rowBreaks>
  <drawing r:id="rId3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J23"/>
  <sheetViews>
    <sheetView view="pageBreakPreview" zoomScaleNormal="100" zoomScaleSheetLayoutView="100" workbookViewId="0">
      <selection activeCell="D8" sqref="D8"/>
    </sheetView>
  </sheetViews>
  <sheetFormatPr defaultColWidth="8.88671875" defaultRowHeight="15.6" x14ac:dyDescent="0.3"/>
  <cols>
    <col min="1" max="1" width="6" style="30" customWidth="1"/>
    <col min="2" max="2" width="6.88671875" style="30" customWidth="1"/>
    <col min="3" max="3" width="35.5546875" style="30" customWidth="1"/>
    <col min="4" max="4" width="13.88671875" style="30" customWidth="1"/>
    <col min="5" max="5" width="15.33203125" style="30" customWidth="1"/>
    <col min="6" max="6" width="12.5546875" style="30" customWidth="1"/>
    <col min="7" max="7" width="12.6640625" style="30" bestFit="1" customWidth="1"/>
    <col min="8" max="8" width="13.33203125" style="30" bestFit="1" customWidth="1"/>
    <col min="9" max="9" width="8.88671875" style="30"/>
    <col min="10" max="10" width="13.33203125" style="30" bestFit="1" customWidth="1"/>
    <col min="11" max="16384" width="8.88671875" style="30"/>
  </cols>
  <sheetData>
    <row r="1" spans="1:10" x14ac:dyDescent="0.3">
      <c r="A1" s="498"/>
      <c r="B1" s="498"/>
      <c r="C1" s="50" t="str">
        <f>CPU_Serviços!$C$1</f>
        <v>Prefeitura Municipal de Colatina</v>
      </c>
      <c r="D1" s="50"/>
      <c r="E1" s="50"/>
      <c r="F1" s="50"/>
    </row>
    <row r="2" spans="1:10" x14ac:dyDescent="0.3">
      <c r="A2" s="498"/>
      <c r="B2" s="498"/>
      <c r="C2" s="306" t="str">
        <f>CPU_Serviços!$C$2</f>
        <v>Secretaria Municipal de Habitação e Regularização Fundiária</v>
      </c>
      <c r="D2" s="306"/>
      <c r="E2" s="306"/>
      <c r="F2" s="31"/>
    </row>
    <row r="3" spans="1:10" ht="6.6" customHeight="1" x14ac:dyDescent="0.3">
      <c r="A3" s="498"/>
      <c r="B3" s="498"/>
    </row>
    <row r="4" spans="1:10" x14ac:dyDescent="0.3">
      <c r="A4" s="498"/>
      <c r="B4" s="498"/>
      <c r="C4" s="32" t="s">
        <v>735</v>
      </c>
      <c r="D4" s="32"/>
      <c r="E4" s="32"/>
      <c r="F4" s="32"/>
      <c r="G4" s="32"/>
    </row>
    <row r="5" spans="1:10" x14ac:dyDescent="0.3">
      <c r="A5" s="498"/>
      <c r="B5" s="498"/>
      <c r="C5" s="30" t="s">
        <v>180</v>
      </c>
      <c r="G5" s="471"/>
      <c r="H5" s="471"/>
      <c r="I5" s="471"/>
      <c r="J5" s="471"/>
    </row>
    <row r="6" spans="1:10" s="53" customFormat="1" ht="29.4" customHeight="1" x14ac:dyDescent="0.25">
      <c r="A6" s="241" t="s">
        <v>99</v>
      </c>
      <c r="B6" s="504" t="s">
        <v>181</v>
      </c>
      <c r="C6" s="504"/>
      <c r="D6" s="242" t="s">
        <v>182</v>
      </c>
      <c r="E6" s="242" t="s">
        <v>183</v>
      </c>
      <c r="F6" s="242" t="s">
        <v>184</v>
      </c>
      <c r="G6" s="242" t="s">
        <v>185</v>
      </c>
      <c r="H6" s="51"/>
      <c r="I6" s="468"/>
      <c r="J6" s="468"/>
    </row>
    <row r="7" spans="1:10" s="44" customFormat="1" ht="13.8" x14ac:dyDescent="0.25">
      <c r="A7" s="246">
        <v>1</v>
      </c>
      <c r="B7" s="513" t="s">
        <v>186</v>
      </c>
      <c r="C7" s="513"/>
      <c r="D7" s="513"/>
      <c r="E7" s="513"/>
      <c r="F7" s="513"/>
      <c r="G7" s="513"/>
      <c r="H7" s="54"/>
      <c r="I7" s="54"/>
      <c r="J7" s="54"/>
    </row>
    <row r="8" spans="1:10" s="44" customFormat="1" ht="13.8" x14ac:dyDescent="0.25">
      <c r="A8" s="55" t="s">
        <v>105</v>
      </c>
      <c r="B8" s="514" t="s">
        <v>123</v>
      </c>
      <c r="C8" s="515"/>
      <c r="D8" s="56">
        <f>'K2_Insumos-Escrit.'!$G$23</f>
        <v>463.25</v>
      </c>
      <c r="E8" s="57">
        <v>0.1</v>
      </c>
      <c r="F8" s="56">
        <f>ROUND(D8*E8,2)</f>
        <v>46.33</v>
      </c>
      <c r="G8" s="58">
        <f>ROUND(F8/12,2)</f>
        <v>3.86</v>
      </c>
      <c r="H8" s="59"/>
      <c r="I8" s="38"/>
      <c r="J8" s="60"/>
    </row>
    <row r="9" spans="1:10" s="44" customFormat="1" ht="13.8" x14ac:dyDescent="0.25">
      <c r="A9" s="246">
        <v>2</v>
      </c>
      <c r="B9" s="513" t="s">
        <v>189</v>
      </c>
      <c r="C9" s="513"/>
      <c r="D9" s="513"/>
      <c r="E9" s="513"/>
      <c r="F9" s="513"/>
      <c r="G9" s="513"/>
    </row>
    <row r="10" spans="1:10" s="44" customFormat="1" ht="13.8" x14ac:dyDescent="0.25">
      <c r="A10" s="55" t="s">
        <v>187</v>
      </c>
      <c r="B10" s="514" t="s">
        <v>132</v>
      </c>
      <c r="C10" s="515"/>
      <c r="D10" s="56">
        <f>'K2_Insumos-Escrit.'!$G$28</f>
        <v>428.01</v>
      </c>
      <c r="E10" s="57">
        <v>0.1</v>
      </c>
      <c r="F10" s="56">
        <f>ROUND(D10*E10,2)</f>
        <v>42.8</v>
      </c>
      <c r="G10" s="58">
        <f>ROUND(F10/12,2)</f>
        <v>3.57</v>
      </c>
    </row>
    <row r="11" spans="1:10" s="44" customFormat="1" ht="13.8" x14ac:dyDescent="0.25">
      <c r="A11" s="246">
        <v>3</v>
      </c>
      <c r="B11" s="513" t="s">
        <v>190</v>
      </c>
      <c r="C11" s="513"/>
      <c r="D11" s="513"/>
      <c r="E11" s="513"/>
      <c r="F11" s="513"/>
      <c r="G11" s="513"/>
    </row>
    <row r="12" spans="1:10" s="44" customFormat="1" ht="13.8" x14ac:dyDescent="0.25">
      <c r="A12" s="55" t="s">
        <v>120</v>
      </c>
      <c r="B12" s="514" t="s">
        <v>191</v>
      </c>
      <c r="C12" s="515"/>
      <c r="D12" s="56">
        <f>'K2_Insumos-Escrit.'!$G$33</f>
        <v>353.78</v>
      </c>
      <c r="E12" s="57">
        <v>0.1</v>
      </c>
      <c r="F12" s="56">
        <f>ROUND(D12*E12,2)</f>
        <v>35.380000000000003</v>
      </c>
      <c r="G12" s="58">
        <f>ROUND(F12/12,2)</f>
        <v>2.95</v>
      </c>
    </row>
    <row r="13" spans="1:10" s="44" customFormat="1" ht="13.8" x14ac:dyDescent="0.25">
      <c r="A13" s="246">
        <v>4</v>
      </c>
      <c r="B13" s="513" t="s">
        <v>192</v>
      </c>
      <c r="C13" s="513"/>
      <c r="D13" s="513"/>
      <c r="E13" s="513"/>
      <c r="F13" s="513"/>
      <c r="G13" s="513"/>
    </row>
    <row r="14" spans="1:10" s="65" customFormat="1" ht="27.6" customHeight="1" x14ac:dyDescent="0.25">
      <c r="A14" s="61" t="s">
        <v>129</v>
      </c>
      <c r="B14" s="511" t="s">
        <v>194</v>
      </c>
      <c r="C14" s="512"/>
      <c r="D14" s="62">
        <f>'K2_Insumos-Escrit.'!$G$49</f>
        <v>5153.7099999999991</v>
      </c>
      <c r="E14" s="63">
        <v>0.2</v>
      </c>
      <c r="F14" s="62">
        <f>ROUND(D14*E14,2)</f>
        <v>1030.74</v>
      </c>
      <c r="G14" s="64">
        <f>ROUND(F14/12,2)</f>
        <v>85.9</v>
      </c>
    </row>
    <row r="15" spans="1:10" s="44" customFormat="1" ht="13.8" x14ac:dyDescent="0.25">
      <c r="A15" s="246">
        <v>5</v>
      </c>
      <c r="B15" s="513" t="s">
        <v>193</v>
      </c>
      <c r="C15" s="513"/>
      <c r="D15" s="513"/>
      <c r="E15" s="513"/>
      <c r="F15" s="513"/>
      <c r="G15" s="513"/>
    </row>
    <row r="16" spans="1:10" s="65" customFormat="1" ht="27.6" customHeight="1" x14ac:dyDescent="0.25">
      <c r="A16" s="61" t="s">
        <v>135</v>
      </c>
      <c r="B16" s="511" t="s">
        <v>195</v>
      </c>
      <c r="C16" s="512"/>
      <c r="D16" s="62">
        <f>'K2_Insumos-Escrit.'!$G$55</f>
        <v>3610.75</v>
      </c>
      <c r="E16" s="63">
        <v>0.2</v>
      </c>
      <c r="F16" s="62">
        <f>ROUND(D16*E16,2)</f>
        <v>722.15</v>
      </c>
      <c r="G16" s="64">
        <f>ROUND(F16/12,2)</f>
        <v>60.18</v>
      </c>
    </row>
    <row r="17" spans="1:7" s="44" customFormat="1" ht="13.8" x14ac:dyDescent="0.25">
      <c r="A17" s="246">
        <v>6</v>
      </c>
      <c r="B17" s="513" t="s">
        <v>196</v>
      </c>
      <c r="C17" s="513"/>
      <c r="D17" s="513"/>
      <c r="E17" s="513"/>
      <c r="F17" s="513"/>
      <c r="G17" s="513"/>
    </row>
    <row r="18" spans="1:7" s="44" customFormat="1" ht="13.8" x14ac:dyDescent="0.25">
      <c r="A18" s="55" t="s">
        <v>140</v>
      </c>
      <c r="B18" s="514" t="s">
        <v>196</v>
      </c>
      <c r="C18" s="515"/>
      <c r="D18" s="56">
        <f>'K2_Insumos-Escrit.'!$G$60</f>
        <v>75.08</v>
      </c>
      <c r="E18" s="57">
        <v>0.2</v>
      </c>
      <c r="F18" s="56">
        <f>ROUND(D18*E18,2)</f>
        <v>15.02</v>
      </c>
      <c r="G18" s="58">
        <f>ROUND(F18/12,2)</f>
        <v>1.25</v>
      </c>
    </row>
    <row r="19" spans="1:7" s="44" customFormat="1" ht="13.8" x14ac:dyDescent="0.25">
      <c r="A19" s="246">
        <v>7</v>
      </c>
      <c r="B19" s="513" t="s">
        <v>197</v>
      </c>
      <c r="C19" s="513"/>
      <c r="D19" s="513"/>
      <c r="E19" s="513"/>
      <c r="F19" s="513"/>
      <c r="G19" s="513"/>
    </row>
    <row r="20" spans="1:7" s="65" customFormat="1" ht="26.4" customHeight="1" x14ac:dyDescent="0.25">
      <c r="A20" s="61" t="s">
        <v>146</v>
      </c>
      <c r="B20" s="511" t="s">
        <v>170</v>
      </c>
      <c r="C20" s="512"/>
      <c r="D20" s="62">
        <f>'K2_Insumos-Escrit.'!$G$65</f>
        <v>2670.86</v>
      </c>
      <c r="E20" s="63">
        <v>0.2</v>
      </c>
      <c r="F20" s="62">
        <f>ROUND(D20*E20,2)</f>
        <v>534.16999999999996</v>
      </c>
      <c r="G20" s="64">
        <f>ROUND(F20/12,2)</f>
        <v>44.51</v>
      </c>
    </row>
    <row r="21" spans="1:7" s="44" customFormat="1" ht="13.8" x14ac:dyDescent="0.25">
      <c r="A21" s="246">
        <v>8</v>
      </c>
      <c r="B21" s="513" t="s">
        <v>198</v>
      </c>
      <c r="C21" s="513"/>
      <c r="D21" s="513"/>
      <c r="E21" s="513"/>
      <c r="F21" s="513"/>
      <c r="G21" s="513"/>
    </row>
    <row r="22" spans="1:7" s="65" customFormat="1" ht="25.95" customHeight="1" x14ac:dyDescent="0.25">
      <c r="A22" s="61" t="s">
        <v>153</v>
      </c>
      <c r="B22" s="511" t="s">
        <v>171</v>
      </c>
      <c r="C22" s="512"/>
      <c r="D22" s="62">
        <f>'K2_Insumos-Escrit.'!$G$70</f>
        <v>3437.79</v>
      </c>
      <c r="E22" s="63">
        <v>0.2</v>
      </c>
      <c r="F22" s="62">
        <f>ROUND(D22*E22,2)</f>
        <v>687.56</v>
      </c>
      <c r="G22" s="64">
        <f>ROUND(F22/12,2)</f>
        <v>57.3</v>
      </c>
    </row>
    <row r="23" spans="1:7" x14ac:dyDescent="0.3">
      <c r="A23" s="40" t="s">
        <v>188</v>
      </c>
    </row>
  </sheetData>
  <mergeCells count="20">
    <mergeCell ref="B15:G15"/>
    <mergeCell ref="B16:C16"/>
    <mergeCell ref="B17:G17"/>
    <mergeCell ref="B18:C18"/>
    <mergeCell ref="B22:C22"/>
    <mergeCell ref="G5:J5"/>
    <mergeCell ref="I6:J6"/>
    <mergeCell ref="A1:B5"/>
    <mergeCell ref="B21:G21"/>
    <mergeCell ref="B6:C6"/>
    <mergeCell ref="B8:C8"/>
    <mergeCell ref="B9:G9"/>
    <mergeCell ref="B10:C10"/>
    <mergeCell ref="B11:G11"/>
    <mergeCell ref="B7:G7"/>
    <mergeCell ref="B12:C12"/>
    <mergeCell ref="B20:C20"/>
    <mergeCell ref="B13:G13"/>
    <mergeCell ref="B14:C14"/>
    <mergeCell ref="B19:G19"/>
  </mergeCells>
  <pageMargins left="0.511811024" right="0.511811024" top="0.78740157499999996" bottom="1.0237499999999999" header="0.31496062000000002" footer="0.31496062000000002"/>
  <pageSetup paperSize="9" scale="91" fitToHeight="0" orientation="portrait" r:id="rId1"/>
  <headerFooter>
    <oddFooter>&amp;RPrefeitura Municipal de Colatina
Travessa Avelino Guerra, 111, Sagrado Coração de Jesus
Telefone: (27) 3177-7000 | https://colatina.es.gov.br/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N70"/>
  <sheetViews>
    <sheetView view="pageBreakPreview" zoomScaleNormal="100" zoomScaleSheetLayoutView="100" workbookViewId="0">
      <selection activeCell="D8" sqref="D8:I19"/>
    </sheetView>
  </sheetViews>
  <sheetFormatPr defaultColWidth="8.88671875" defaultRowHeight="15.6" x14ac:dyDescent="0.3"/>
  <cols>
    <col min="1" max="1" width="5.109375" style="30" bestFit="1" customWidth="1"/>
    <col min="2" max="2" width="7.88671875" style="30" bestFit="1" customWidth="1"/>
    <col min="3" max="3" width="42.5546875" style="30" customWidth="1"/>
    <col min="4" max="4" width="13.33203125" style="30" bestFit="1" customWidth="1"/>
    <col min="5" max="6" width="9.5546875" style="30" bestFit="1" customWidth="1"/>
    <col min="7" max="7" width="11.109375" style="30" bestFit="1" customWidth="1"/>
    <col min="8" max="9" width="9.5546875" style="30" bestFit="1" customWidth="1"/>
    <col min="10" max="10" width="13.6640625" style="30" bestFit="1" customWidth="1"/>
    <col min="11" max="11" width="8.88671875" style="30"/>
    <col min="12" max="12" width="13.33203125" style="30" bestFit="1" customWidth="1"/>
    <col min="13" max="13" width="8.88671875" style="30"/>
    <col min="14" max="14" width="13.33203125" style="30" bestFit="1" customWidth="1"/>
    <col min="15" max="16384" width="8.88671875" style="30"/>
  </cols>
  <sheetData>
    <row r="1" spans="1:14" x14ac:dyDescent="0.3">
      <c r="A1" s="524"/>
      <c r="B1" s="524"/>
      <c r="C1" s="50" t="str">
        <f>CPU_Serviços!$C$1</f>
        <v>Prefeitura Municipal de Colatina</v>
      </c>
      <c r="D1" s="50"/>
      <c r="E1" s="50"/>
      <c r="F1" s="50"/>
      <c r="G1" s="50"/>
      <c r="H1" s="50"/>
      <c r="I1" s="50"/>
      <c r="J1" s="50"/>
    </row>
    <row r="2" spans="1:14" x14ac:dyDescent="0.3">
      <c r="A2" s="524"/>
      <c r="B2" s="524"/>
      <c r="C2" s="306" t="str">
        <f>CPU_Serviços!$C$2</f>
        <v>Secretaria Municipal de Habitação e Regularização Fundiária</v>
      </c>
      <c r="D2" s="306"/>
      <c r="E2" s="306"/>
      <c r="F2" s="31"/>
      <c r="G2" s="31"/>
      <c r="H2" s="31"/>
      <c r="I2" s="31"/>
      <c r="J2" s="31"/>
    </row>
    <row r="3" spans="1:14" ht="6.6" customHeight="1" x14ac:dyDescent="0.3">
      <c r="A3" s="524"/>
      <c r="B3" s="524"/>
    </row>
    <row r="4" spans="1:14" x14ac:dyDescent="0.3">
      <c r="A4" s="524"/>
      <c r="B4" s="524"/>
      <c r="C4" s="32" t="s">
        <v>735</v>
      </c>
      <c r="D4" s="32"/>
      <c r="E4" s="32"/>
      <c r="F4" s="32"/>
      <c r="G4" s="32"/>
      <c r="H4" s="32"/>
      <c r="I4" s="32"/>
      <c r="J4" s="32"/>
    </row>
    <row r="5" spans="1:14" x14ac:dyDescent="0.3">
      <c r="A5" s="525"/>
      <c r="B5" s="525"/>
      <c r="C5" s="30" t="s">
        <v>235</v>
      </c>
      <c r="K5" s="471"/>
      <c r="L5" s="471"/>
      <c r="M5" s="471"/>
      <c r="N5" s="471"/>
    </row>
    <row r="6" spans="1:14" x14ac:dyDescent="0.3">
      <c r="A6" s="520" t="s">
        <v>99</v>
      </c>
      <c r="B6" s="520" t="s">
        <v>595</v>
      </c>
      <c r="C6" s="522" t="s">
        <v>200</v>
      </c>
      <c r="D6" s="501" t="s">
        <v>201</v>
      </c>
      <c r="E6" s="502"/>
      <c r="F6" s="502"/>
      <c r="G6" s="502"/>
      <c r="H6" s="502"/>
      <c r="I6" s="502"/>
      <c r="J6" s="504" t="s">
        <v>204</v>
      </c>
      <c r="K6" s="505"/>
      <c r="L6" s="471"/>
      <c r="M6" s="471"/>
      <c r="N6" s="471"/>
    </row>
    <row r="7" spans="1:14" x14ac:dyDescent="0.3">
      <c r="A7" s="521"/>
      <c r="B7" s="521"/>
      <c r="C7" s="523"/>
      <c r="D7" s="243" t="s">
        <v>223</v>
      </c>
      <c r="E7" s="243" t="s">
        <v>222</v>
      </c>
      <c r="F7" s="243" t="s">
        <v>221</v>
      </c>
      <c r="G7" s="243" t="s">
        <v>152</v>
      </c>
      <c r="H7" s="243" t="s">
        <v>203</v>
      </c>
      <c r="I7" s="243" t="s">
        <v>124</v>
      </c>
      <c r="J7" s="504"/>
      <c r="K7" s="45"/>
      <c r="M7" s="45"/>
      <c r="N7" s="33"/>
    </row>
    <row r="8" spans="1:14" x14ac:dyDescent="0.3">
      <c r="A8" s="66" t="s">
        <v>23</v>
      </c>
      <c r="B8" s="214" t="str">
        <f>VLOOKUP(A8,$A$23:$D$70,2,FALSE)</f>
        <v>IL-K2.01</v>
      </c>
      <c r="C8" s="67" t="str">
        <f>VLOOKUP(A8,$A$23:$D$70,3,FALSE)</f>
        <v>Esponja dupla face (pacote com 10und)</v>
      </c>
      <c r="D8" s="278">
        <f>IFERROR(VLOOKUP(D$7,$D$23:$E$25,2,FALSE),0)</f>
        <v>12.64</v>
      </c>
      <c r="E8" s="278">
        <f t="shared" ref="E8:I8" si="0">IFERROR(VLOOKUP(E7,$D$23:$E$25,2,FALSE),0)</f>
        <v>0</v>
      </c>
      <c r="F8" s="278">
        <f t="shared" si="0"/>
        <v>0</v>
      </c>
      <c r="G8" s="278">
        <f t="shared" si="0"/>
        <v>16.399999999999999</v>
      </c>
      <c r="H8" s="278">
        <f t="shared" si="0"/>
        <v>0</v>
      </c>
      <c r="I8" s="278">
        <f t="shared" si="0"/>
        <v>14.4</v>
      </c>
      <c r="J8" s="37">
        <f>(F8+E8+D8+G8+H8+I8)/3</f>
        <v>14.479999999999999</v>
      </c>
      <c r="K8" s="31" t="s">
        <v>526</v>
      </c>
      <c r="M8" s="31"/>
      <c r="N8" s="34"/>
    </row>
    <row r="9" spans="1:14" x14ac:dyDescent="0.3">
      <c r="A9" s="66" t="s">
        <v>22</v>
      </c>
      <c r="B9" s="214" t="str">
        <f>VLOOKUP(A9,$A$23:$D$70,2,FALSE)</f>
        <v>IL-K2.02</v>
      </c>
      <c r="C9" s="67" t="str">
        <f>VLOOKUP(A9,$A$23:$D$70,3,FALSE)</f>
        <v>Desinfetante uso geral embalagem com 5l</v>
      </c>
      <c r="D9" s="278">
        <f t="shared" ref="D9:I9" si="1">IFERROR(VLOOKUP(D$7,$D$27:$E$29,2,FALSE),0)</f>
        <v>13.29</v>
      </c>
      <c r="E9" s="278">
        <f t="shared" si="1"/>
        <v>15.59</v>
      </c>
      <c r="F9" s="278">
        <f t="shared" si="1"/>
        <v>17.79</v>
      </c>
      <c r="G9" s="278">
        <f t="shared" si="1"/>
        <v>0</v>
      </c>
      <c r="H9" s="278">
        <f t="shared" si="1"/>
        <v>0</v>
      </c>
      <c r="I9" s="278">
        <f t="shared" si="1"/>
        <v>0</v>
      </c>
      <c r="J9" s="37">
        <f t="shared" ref="J9:J19" si="2">(F9+E9+D9+G9+H9+I9)/3</f>
        <v>15.556666666666665</v>
      </c>
      <c r="K9" s="31" t="s">
        <v>526</v>
      </c>
      <c r="M9" s="31"/>
      <c r="N9" s="34"/>
    </row>
    <row r="10" spans="1:14" x14ac:dyDescent="0.3">
      <c r="A10" s="66" t="s">
        <v>21</v>
      </c>
      <c r="B10" s="214" t="str">
        <f>VLOOKUP(A10,$A$23:$D$70,2,FALSE)</f>
        <v>IL-K2.03</v>
      </c>
      <c r="C10" s="67" t="str">
        <f>VLOOKUP(A10,$A$23:$D$70,3,FALSE)</f>
        <v>Papel higiênico 30m (12 und)</v>
      </c>
      <c r="D10" s="278">
        <f t="shared" ref="D10:I10" si="3">IFERROR(VLOOKUP(D$7,$D$31:$E$33,2,FALSE),0)</f>
        <v>0</v>
      </c>
      <c r="E10" s="278">
        <f t="shared" si="3"/>
        <v>15.9</v>
      </c>
      <c r="F10" s="278">
        <f t="shared" si="3"/>
        <v>14.95</v>
      </c>
      <c r="G10" s="278">
        <f t="shared" si="3"/>
        <v>0</v>
      </c>
      <c r="H10" s="278">
        <f t="shared" si="3"/>
        <v>14.24</v>
      </c>
      <c r="I10" s="278">
        <f t="shared" si="3"/>
        <v>0</v>
      </c>
      <c r="J10" s="37">
        <f t="shared" si="2"/>
        <v>15.030000000000001</v>
      </c>
      <c r="K10" s="31" t="s">
        <v>526</v>
      </c>
      <c r="M10" s="31"/>
      <c r="N10" s="34"/>
    </row>
    <row r="11" spans="1:14" x14ac:dyDescent="0.3">
      <c r="A11" s="66" t="s">
        <v>20</v>
      </c>
      <c r="B11" s="214" t="str">
        <f>VLOOKUP(A11,$A$23:$D$70,2,FALSE)</f>
        <v>IL-K2.04</v>
      </c>
      <c r="C11" s="67" t="str">
        <f>VLOOKUP(A11,$A$23:$D$70,3,FALSE)</f>
        <v>Papel toalha 1000fl</v>
      </c>
      <c r="D11" s="278">
        <f t="shared" ref="D11:I11" si="4">IFERROR(VLOOKUP(D$7,$D$35:$E$37,2,FALSE),0)</f>
        <v>11.7</v>
      </c>
      <c r="E11" s="278">
        <f t="shared" si="4"/>
        <v>0</v>
      </c>
      <c r="F11" s="278">
        <f t="shared" si="4"/>
        <v>0</v>
      </c>
      <c r="G11" s="278">
        <f t="shared" si="4"/>
        <v>16.899999999999999</v>
      </c>
      <c r="H11" s="278">
        <f t="shared" si="4"/>
        <v>0</v>
      </c>
      <c r="I11" s="278">
        <f t="shared" si="4"/>
        <v>20.13</v>
      </c>
      <c r="J11" s="37">
        <f t="shared" si="2"/>
        <v>16.243333333333332</v>
      </c>
      <c r="K11" s="31" t="s">
        <v>526</v>
      </c>
      <c r="M11" s="31"/>
      <c r="N11" s="34"/>
    </row>
    <row r="12" spans="1:14" x14ac:dyDescent="0.3">
      <c r="A12" s="66" t="s">
        <v>29</v>
      </c>
      <c r="B12" s="214" t="str">
        <f>VLOOKUP(A12,$A$23:$D$70,2,FALSE)</f>
        <v>IL-K2.05</v>
      </c>
      <c r="C12" s="67" t="str">
        <f>VLOOKUP(A12,$A$23:$D$70,3,FALSE)</f>
        <v>Sabão em pó (5 kg)</v>
      </c>
      <c r="D12" s="278">
        <f>IFERROR(VLOOKUP(D$7,$D$39:$E$41,2,FALSE),0)</f>
        <v>25.35</v>
      </c>
      <c r="E12" s="278">
        <f t="shared" ref="E12:I12" si="5">IFERROR(VLOOKUP(E$7,$D$39:$E$41,2,FALSE),0)</f>
        <v>0</v>
      </c>
      <c r="F12" s="278">
        <f t="shared" si="5"/>
        <v>0</v>
      </c>
      <c r="G12" s="278">
        <f t="shared" si="5"/>
        <v>32</v>
      </c>
      <c r="H12" s="278">
        <f t="shared" si="5"/>
        <v>0</v>
      </c>
      <c r="I12" s="278">
        <f t="shared" si="5"/>
        <v>29.9</v>
      </c>
      <c r="J12" s="37">
        <f t="shared" si="2"/>
        <v>29.083333333333332</v>
      </c>
      <c r="K12" s="31" t="s">
        <v>526</v>
      </c>
      <c r="M12" s="31"/>
      <c r="N12" s="34"/>
    </row>
    <row r="13" spans="1:14" x14ac:dyDescent="0.3">
      <c r="A13" s="66" t="s">
        <v>32</v>
      </c>
      <c r="B13" s="214" t="str">
        <f>VLOOKUP(A13,$A$23:$D$70,2,FALSE)</f>
        <v>IL-K2.06</v>
      </c>
      <c r="C13" s="67" t="str">
        <f>VLOOKUP(A13,$A$23:$D$70,3,FALSE)</f>
        <v>Sabonete líquido (embalagem 5l)</v>
      </c>
      <c r="D13" s="278">
        <f>IFERROR(VLOOKUP(D$7,$D$43:$E$45,2,FALSE),0)</f>
        <v>34.85</v>
      </c>
      <c r="E13" s="278">
        <f t="shared" ref="E13:I13" si="6">IFERROR(VLOOKUP(E$7,$D$43:$E$45,2,FALSE),0)</f>
        <v>0</v>
      </c>
      <c r="F13" s="278">
        <f t="shared" si="6"/>
        <v>0</v>
      </c>
      <c r="G13" s="278">
        <f t="shared" si="6"/>
        <v>28.25</v>
      </c>
      <c r="H13" s="278">
        <f t="shared" si="6"/>
        <v>32.72</v>
      </c>
      <c r="I13" s="278">
        <f t="shared" si="6"/>
        <v>0</v>
      </c>
      <c r="J13" s="37">
        <f t="shared" si="2"/>
        <v>31.939999999999998</v>
      </c>
      <c r="K13" s="30" t="s">
        <v>526</v>
      </c>
    </row>
    <row r="14" spans="1:14" x14ac:dyDescent="0.3">
      <c r="A14" s="66" t="s">
        <v>41</v>
      </c>
      <c r="B14" s="214" t="str">
        <f>VLOOKUP(A14,$A$23:$D$70,2,FALSE)</f>
        <v>IL-K2.07</v>
      </c>
      <c r="C14" s="67" t="str">
        <f>VLOOKUP(A14,$A$23:$D$70,3,FALSE)</f>
        <v>Saco de lixo com 20l (embalagem com 100und)</v>
      </c>
      <c r="D14" s="278">
        <f>IFERROR(VLOOKUP(D$7,$D$47:$E$49,2,FALSE),0)</f>
        <v>13.04</v>
      </c>
      <c r="E14" s="278">
        <f t="shared" ref="E14:I14" si="7">IFERROR(VLOOKUP(E$7,$D$47:$E$49,2,FALSE),0)</f>
        <v>0</v>
      </c>
      <c r="F14" s="278">
        <f t="shared" si="7"/>
        <v>0</v>
      </c>
      <c r="G14" s="278">
        <f t="shared" si="7"/>
        <v>12.9</v>
      </c>
      <c r="H14" s="278">
        <f t="shared" si="7"/>
        <v>15.68</v>
      </c>
      <c r="I14" s="278">
        <f t="shared" si="7"/>
        <v>0</v>
      </c>
      <c r="J14" s="37">
        <f t="shared" si="2"/>
        <v>13.873333333333333</v>
      </c>
    </row>
    <row r="15" spans="1:14" x14ac:dyDescent="0.3">
      <c r="A15" s="66" t="s">
        <v>42</v>
      </c>
      <c r="B15" s="214" t="str">
        <f>VLOOKUP(A15,$A$23:$D$70,2,FALSE)</f>
        <v>IL-K2.08</v>
      </c>
      <c r="C15" s="67" t="str">
        <f>VLOOKUP(A15,$A$23:$D$70,3,FALSE)</f>
        <v>Saco de lixo com 60l (embalagem com 100und)</v>
      </c>
      <c r="D15" s="278">
        <f t="shared" ref="D15:I15" si="8">IFERROR(VLOOKUP(D$7,$D$51:$E$53,2,FALSE),0)</f>
        <v>15.99</v>
      </c>
      <c r="E15" s="278">
        <f t="shared" si="8"/>
        <v>0</v>
      </c>
      <c r="F15" s="278">
        <f t="shared" si="8"/>
        <v>0</v>
      </c>
      <c r="G15" s="278">
        <f t="shared" si="8"/>
        <v>28.19</v>
      </c>
      <c r="H15" s="278">
        <f t="shared" si="8"/>
        <v>0</v>
      </c>
      <c r="I15" s="278">
        <f t="shared" si="8"/>
        <v>19.989999999999998</v>
      </c>
      <c r="J15" s="37">
        <f t="shared" si="2"/>
        <v>21.39</v>
      </c>
      <c r="K15" s="30" t="s">
        <v>526</v>
      </c>
    </row>
    <row r="16" spans="1:14" x14ac:dyDescent="0.3">
      <c r="A16" s="66" t="s">
        <v>43</v>
      </c>
      <c r="B16" s="214" t="str">
        <f>VLOOKUP(A16,$A$23:$D$70,2,FALSE)</f>
        <v>IL-K2.09</v>
      </c>
      <c r="C16" s="67" t="str">
        <f>VLOOKUP(A16,$A$23:$D$70,3,FALSE)</f>
        <v>Saco de lixo com 100l (embalagem com 100und)</v>
      </c>
      <c r="D16" s="278">
        <f>IFERROR(VLOOKUP(D$7,$D$55:$E$57,2,FALSE),0)</f>
        <v>41.99</v>
      </c>
      <c r="E16" s="278">
        <f t="shared" ref="E16:I16" si="9">IFERROR(VLOOKUP(E$7,$D$55:$E$57,2,FALSE),0)</f>
        <v>0</v>
      </c>
      <c r="F16" s="278">
        <f t="shared" si="9"/>
        <v>0</v>
      </c>
      <c r="G16" s="278">
        <f t="shared" si="9"/>
        <v>30.75</v>
      </c>
      <c r="H16" s="278">
        <f t="shared" si="9"/>
        <v>47.49</v>
      </c>
      <c r="I16" s="278">
        <f t="shared" si="9"/>
        <v>0</v>
      </c>
      <c r="J16" s="37">
        <f t="shared" si="2"/>
        <v>40.076666666666675</v>
      </c>
    </row>
    <row r="17" spans="1:11" x14ac:dyDescent="0.3">
      <c r="A17" s="66" t="s">
        <v>44</v>
      </c>
      <c r="B17" s="214" t="str">
        <f>VLOOKUP(A17,$A$23:$D$70,2,FALSE)</f>
        <v>IL-K2.10</v>
      </c>
      <c r="C17" s="67" t="str">
        <f>VLOOKUP(A17,$A$23:$D$70,3,FALSE)</f>
        <v>Limpa vidros 500ml</v>
      </c>
      <c r="D17" s="278">
        <f>IFERROR(VLOOKUP(D$7,$D$59:$E$61,2,FALSE),0)</f>
        <v>0</v>
      </c>
      <c r="E17" s="278">
        <f t="shared" ref="E17:I17" si="10">IFERROR(VLOOKUP(E$7,$D$59:$E$61,2,FALSE),0)</f>
        <v>10.99</v>
      </c>
      <c r="F17" s="278">
        <f t="shared" si="10"/>
        <v>10.59</v>
      </c>
      <c r="G17" s="278">
        <f t="shared" si="10"/>
        <v>0</v>
      </c>
      <c r="H17" s="278">
        <f t="shared" si="10"/>
        <v>12.99</v>
      </c>
      <c r="I17" s="278">
        <f t="shared" si="10"/>
        <v>0</v>
      </c>
      <c r="J17" s="37">
        <f t="shared" si="2"/>
        <v>11.523333333333333</v>
      </c>
      <c r="K17" s="30" t="s">
        <v>526</v>
      </c>
    </row>
    <row r="18" spans="1:11" x14ac:dyDescent="0.3">
      <c r="A18" s="66" t="s">
        <v>45</v>
      </c>
      <c r="B18" s="214" t="str">
        <f>VLOOKUP(A18,$A$23:$D$70,2,FALSE)</f>
        <v>IL-K2.11</v>
      </c>
      <c r="C18" s="67" t="str">
        <f>VLOOKUP(A18,$A$23:$D$70,3,FALSE)</f>
        <v>Detergente líquido (galão com 5l)</v>
      </c>
      <c r="D18" s="278">
        <f>IFERROR(VLOOKUP(D$7,$D$63:$E$65,2,FALSE),0)</f>
        <v>24.99</v>
      </c>
      <c r="E18" s="278">
        <f t="shared" ref="E18:I18" si="11">IFERROR(VLOOKUP(E$7,$D$63:$E$65,2,FALSE),0)</f>
        <v>22.9</v>
      </c>
      <c r="F18" s="278">
        <f t="shared" si="11"/>
        <v>0</v>
      </c>
      <c r="G18" s="278">
        <f t="shared" si="11"/>
        <v>0</v>
      </c>
      <c r="H18" s="278">
        <f t="shared" si="11"/>
        <v>23.79</v>
      </c>
      <c r="I18" s="278">
        <f t="shared" si="11"/>
        <v>0</v>
      </c>
      <c r="J18" s="37">
        <f t="shared" si="2"/>
        <v>23.893333333333334</v>
      </c>
      <c r="K18" s="30" t="s">
        <v>526</v>
      </c>
    </row>
    <row r="19" spans="1:11" x14ac:dyDescent="0.3">
      <c r="A19" s="66" t="s">
        <v>205</v>
      </c>
      <c r="B19" s="214" t="str">
        <f>VLOOKUP(A19,$A$23:$D$70,2,FALSE)</f>
        <v>IL-K2.12</v>
      </c>
      <c r="C19" s="67" t="str">
        <f>VLOOKUP(A19,$A$23:$D$70,3,FALSE)</f>
        <v>Lã de aço (embalagem com 8 und)</v>
      </c>
      <c r="D19" s="278">
        <f>IFERROR(VLOOKUP(D$7,$D$67:$E$69,2,FALSE),0)</f>
        <v>0</v>
      </c>
      <c r="E19" s="278">
        <f t="shared" ref="E19:I19" si="12">IFERROR(VLOOKUP(E$7,$D$67:$E$69,2,FALSE),0)</f>
        <v>2.69</v>
      </c>
      <c r="F19" s="278">
        <f t="shared" si="12"/>
        <v>2.69</v>
      </c>
      <c r="G19" s="278">
        <f t="shared" si="12"/>
        <v>0</v>
      </c>
      <c r="H19" s="278">
        <f t="shared" si="12"/>
        <v>2.42</v>
      </c>
      <c r="I19" s="278">
        <f t="shared" si="12"/>
        <v>0</v>
      </c>
      <c r="J19" s="37">
        <f t="shared" si="2"/>
        <v>2.6</v>
      </c>
    </row>
    <row r="20" spans="1:11" ht="6.6" customHeight="1" x14ac:dyDescent="0.3">
      <c r="B20" s="214"/>
      <c r="E20" s="34"/>
    </row>
    <row r="21" spans="1:11" x14ac:dyDescent="0.3">
      <c r="A21" s="501" t="s">
        <v>500</v>
      </c>
      <c r="B21" s="502"/>
      <c r="C21" s="502"/>
      <c r="D21" s="502"/>
      <c r="E21" s="502"/>
      <c r="F21" s="502"/>
      <c r="G21" s="502"/>
      <c r="H21" s="502"/>
      <c r="I21" s="502"/>
      <c r="J21" s="503"/>
    </row>
    <row r="22" spans="1:11" x14ac:dyDescent="0.3">
      <c r="A22" s="243" t="s">
        <v>99</v>
      </c>
      <c r="B22" s="243" t="s">
        <v>50</v>
      </c>
      <c r="C22" s="243" t="s">
        <v>200</v>
      </c>
      <c r="D22" s="243" t="s">
        <v>501</v>
      </c>
      <c r="E22" s="249" t="s">
        <v>52</v>
      </c>
      <c r="F22" s="501" t="s">
        <v>502</v>
      </c>
      <c r="G22" s="502"/>
      <c r="H22" s="502"/>
      <c r="I22" s="503"/>
      <c r="J22" s="243" t="s">
        <v>503</v>
      </c>
    </row>
    <row r="23" spans="1:11" x14ac:dyDescent="0.3">
      <c r="A23" s="529" t="s">
        <v>23</v>
      </c>
      <c r="B23" s="529" t="s">
        <v>639</v>
      </c>
      <c r="C23" s="538" t="s">
        <v>224</v>
      </c>
      <c r="D23" s="36" t="s">
        <v>223</v>
      </c>
      <c r="E23" s="37">
        <v>12.64</v>
      </c>
      <c r="F23" s="545" t="s">
        <v>579</v>
      </c>
      <c r="G23" s="547"/>
      <c r="H23" s="547"/>
      <c r="I23" s="548"/>
      <c r="J23" s="208">
        <v>45469</v>
      </c>
    </row>
    <row r="24" spans="1:11" x14ac:dyDescent="0.3">
      <c r="A24" s="530"/>
      <c r="B24" s="530"/>
      <c r="C24" s="539"/>
      <c r="D24" s="36" t="s">
        <v>152</v>
      </c>
      <c r="E24" s="37">
        <v>16.399999999999999</v>
      </c>
      <c r="F24" s="545" t="s">
        <v>580</v>
      </c>
      <c r="G24" s="547"/>
      <c r="H24" s="547"/>
      <c r="I24" s="548"/>
      <c r="J24" s="208">
        <v>45469</v>
      </c>
    </row>
    <row r="25" spans="1:11" x14ac:dyDescent="0.3">
      <c r="A25" s="531"/>
      <c r="B25" s="531"/>
      <c r="C25" s="540"/>
      <c r="D25" s="36" t="s">
        <v>124</v>
      </c>
      <c r="E25" s="37">
        <v>14.4</v>
      </c>
      <c r="F25" s="545" t="s">
        <v>581</v>
      </c>
      <c r="G25" s="547"/>
      <c r="H25" s="547"/>
      <c r="I25" s="548"/>
      <c r="J25" s="208">
        <v>45469</v>
      </c>
    </row>
    <row r="26" spans="1:11" x14ac:dyDescent="0.3">
      <c r="A26" s="526" t="s">
        <v>520</v>
      </c>
      <c r="B26" s="527"/>
      <c r="C26" s="527"/>
      <c r="D26" s="528"/>
      <c r="E26" s="279">
        <f>(E23+E24+E25)/(COUNTA(E23:E25))</f>
        <v>14.479999999999999</v>
      </c>
      <c r="F26" s="535"/>
      <c r="G26" s="536"/>
      <c r="H26" s="536"/>
      <c r="I26" s="536"/>
      <c r="J26" s="537"/>
    </row>
    <row r="27" spans="1:11" x14ac:dyDescent="0.3">
      <c r="A27" s="529" t="s">
        <v>22</v>
      </c>
      <c r="B27" s="529" t="s">
        <v>640</v>
      </c>
      <c r="C27" s="538" t="s">
        <v>225</v>
      </c>
      <c r="D27" s="36" t="s">
        <v>222</v>
      </c>
      <c r="E27" s="37">
        <v>15.59</v>
      </c>
      <c r="F27" s="545" t="s">
        <v>582</v>
      </c>
      <c r="G27" s="547"/>
      <c r="H27" s="547"/>
      <c r="I27" s="548"/>
      <c r="J27" s="208">
        <v>45469</v>
      </c>
    </row>
    <row r="28" spans="1:11" x14ac:dyDescent="0.3">
      <c r="A28" s="530"/>
      <c r="B28" s="530"/>
      <c r="C28" s="539"/>
      <c r="D28" s="36" t="s">
        <v>221</v>
      </c>
      <c r="E28" s="37">
        <v>17.79</v>
      </c>
      <c r="F28" s="545" t="s">
        <v>583</v>
      </c>
      <c r="G28" s="547"/>
      <c r="H28" s="547"/>
      <c r="I28" s="548"/>
      <c r="J28" s="208">
        <v>45469</v>
      </c>
    </row>
    <row r="29" spans="1:11" x14ac:dyDescent="0.3">
      <c r="A29" s="531"/>
      <c r="B29" s="531"/>
      <c r="C29" s="540"/>
      <c r="D29" s="36" t="s">
        <v>223</v>
      </c>
      <c r="E29" s="37">
        <v>13.29</v>
      </c>
      <c r="F29" s="545" t="s">
        <v>584</v>
      </c>
      <c r="G29" s="547"/>
      <c r="H29" s="547"/>
      <c r="I29" s="548"/>
      <c r="J29" s="208">
        <v>45469</v>
      </c>
    </row>
    <row r="30" spans="1:11" x14ac:dyDescent="0.3">
      <c r="A30" s="526" t="s">
        <v>520</v>
      </c>
      <c r="B30" s="527"/>
      <c r="C30" s="527"/>
      <c r="D30" s="528"/>
      <c r="E30" s="279">
        <f>(E27+E28+E29)/(COUNTA(E27:E29))</f>
        <v>15.556666666666665</v>
      </c>
      <c r="F30" s="535"/>
      <c r="G30" s="536"/>
      <c r="H30" s="536"/>
      <c r="I30" s="536"/>
      <c r="J30" s="537"/>
    </row>
    <row r="31" spans="1:11" x14ac:dyDescent="0.3">
      <c r="A31" s="529" t="s">
        <v>21</v>
      </c>
      <c r="B31" s="529" t="s">
        <v>641</v>
      </c>
      <c r="C31" s="538" t="s">
        <v>585</v>
      </c>
      <c r="D31" s="36" t="s">
        <v>203</v>
      </c>
      <c r="E31" s="37">
        <v>14.24</v>
      </c>
      <c r="F31" s="545" t="s">
        <v>586</v>
      </c>
      <c r="G31" s="547"/>
      <c r="H31" s="547"/>
      <c r="I31" s="548"/>
      <c r="J31" s="208">
        <v>45469</v>
      </c>
    </row>
    <row r="32" spans="1:11" x14ac:dyDescent="0.3">
      <c r="A32" s="530"/>
      <c r="B32" s="530"/>
      <c r="C32" s="539"/>
      <c r="D32" s="36" t="s">
        <v>221</v>
      </c>
      <c r="E32" s="37">
        <v>14.95</v>
      </c>
      <c r="F32" s="545" t="s">
        <v>587</v>
      </c>
      <c r="G32" s="547"/>
      <c r="H32" s="547"/>
      <c r="I32" s="548"/>
      <c r="J32" s="208">
        <v>45469</v>
      </c>
    </row>
    <row r="33" spans="1:10" x14ac:dyDescent="0.3">
      <c r="A33" s="531"/>
      <c r="B33" s="531"/>
      <c r="C33" s="540"/>
      <c r="D33" s="36" t="s">
        <v>222</v>
      </c>
      <c r="E33" s="37">
        <v>15.9</v>
      </c>
      <c r="F33" s="545" t="s">
        <v>588</v>
      </c>
      <c r="G33" s="547"/>
      <c r="H33" s="547"/>
      <c r="I33" s="548"/>
      <c r="J33" s="208">
        <v>45469</v>
      </c>
    </row>
    <row r="34" spans="1:10" x14ac:dyDescent="0.3">
      <c r="A34" s="526" t="s">
        <v>520</v>
      </c>
      <c r="B34" s="527"/>
      <c r="C34" s="527"/>
      <c r="D34" s="528"/>
      <c r="E34" s="279">
        <f>(E31+E32+E33)/(COUNTA(E31:E33))</f>
        <v>15.03</v>
      </c>
      <c r="F34" s="535"/>
      <c r="G34" s="536"/>
      <c r="H34" s="536"/>
      <c r="I34" s="536"/>
      <c r="J34" s="537"/>
    </row>
    <row r="35" spans="1:10" x14ac:dyDescent="0.3">
      <c r="A35" s="529" t="s">
        <v>20</v>
      </c>
      <c r="B35" s="529" t="s">
        <v>642</v>
      </c>
      <c r="C35" s="538" t="s">
        <v>226</v>
      </c>
      <c r="D35" s="36" t="s">
        <v>223</v>
      </c>
      <c r="E35" s="37">
        <v>11.7</v>
      </c>
      <c r="F35" s="545" t="s">
        <v>589</v>
      </c>
      <c r="G35" s="547"/>
      <c r="H35" s="547"/>
      <c r="I35" s="548"/>
      <c r="J35" s="208">
        <v>45469</v>
      </c>
    </row>
    <row r="36" spans="1:10" x14ac:dyDescent="0.3">
      <c r="A36" s="530"/>
      <c r="B36" s="530"/>
      <c r="C36" s="539"/>
      <c r="D36" s="36" t="s">
        <v>152</v>
      </c>
      <c r="E36" s="37">
        <v>16.899999999999999</v>
      </c>
      <c r="F36" s="545" t="s">
        <v>590</v>
      </c>
      <c r="G36" s="547"/>
      <c r="H36" s="547"/>
      <c r="I36" s="548"/>
      <c r="J36" s="208">
        <v>45469</v>
      </c>
    </row>
    <row r="37" spans="1:10" x14ac:dyDescent="0.3">
      <c r="A37" s="531"/>
      <c r="B37" s="531"/>
      <c r="C37" s="540"/>
      <c r="D37" s="36" t="s">
        <v>124</v>
      </c>
      <c r="E37" s="37">
        <v>20.13</v>
      </c>
      <c r="F37" s="545" t="s">
        <v>591</v>
      </c>
      <c r="G37" s="547"/>
      <c r="H37" s="547"/>
      <c r="I37" s="548"/>
      <c r="J37" s="208">
        <v>45469</v>
      </c>
    </row>
    <row r="38" spans="1:10" x14ac:dyDescent="0.3">
      <c r="A38" s="526" t="s">
        <v>520</v>
      </c>
      <c r="B38" s="527"/>
      <c r="C38" s="527"/>
      <c r="D38" s="528"/>
      <c r="E38" s="279">
        <f>(E35+E36+E37)/(COUNTA(E35:E37))</f>
        <v>16.243333333333332</v>
      </c>
      <c r="F38" s="535"/>
      <c r="G38" s="536"/>
      <c r="H38" s="536"/>
      <c r="I38" s="536"/>
      <c r="J38" s="537"/>
    </row>
    <row r="39" spans="1:10" x14ac:dyDescent="0.3">
      <c r="A39" s="529" t="s">
        <v>29</v>
      </c>
      <c r="B39" s="529" t="s">
        <v>643</v>
      </c>
      <c r="C39" s="538" t="s">
        <v>227</v>
      </c>
      <c r="D39" s="36" t="s">
        <v>223</v>
      </c>
      <c r="E39" s="37">
        <v>25.35</v>
      </c>
      <c r="F39" s="545" t="s">
        <v>592</v>
      </c>
      <c r="G39" s="547"/>
      <c r="H39" s="547"/>
      <c r="I39" s="548"/>
      <c r="J39" s="208">
        <v>45469</v>
      </c>
    </row>
    <row r="40" spans="1:10" x14ac:dyDescent="0.3">
      <c r="A40" s="530"/>
      <c r="B40" s="530"/>
      <c r="C40" s="539"/>
      <c r="D40" s="36" t="s">
        <v>152</v>
      </c>
      <c r="E40" s="37">
        <v>32</v>
      </c>
      <c r="F40" s="545" t="s">
        <v>593</v>
      </c>
      <c r="G40" s="547"/>
      <c r="H40" s="547"/>
      <c r="I40" s="548"/>
      <c r="J40" s="208">
        <v>45469</v>
      </c>
    </row>
    <row r="41" spans="1:10" x14ac:dyDescent="0.3">
      <c r="A41" s="531"/>
      <c r="B41" s="531"/>
      <c r="C41" s="540"/>
      <c r="D41" s="36" t="s">
        <v>124</v>
      </c>
      <c r="E41" s="37">
        <v>29.9</v>
      </c>
      <c r="F41" s="545" t="s">
        <v>594</v>
      </c>
      <c r="G41" s="547"/>
      <c r="H41" s="547"/>
      <c r="I41" s="548"/>
      <c r="J41" s="208">
        <v>45469</v>
      </c>
    </row>
    <row r="42" spans="1:10" x14ac:dyDescent="0.3">
      <c r="A42" s="526" t="s">
        <v>520</v>
      </c>
      <c r="B42" s="527"/>
      <c r="C42" s="527"/>
      <c r="D42" s="528"/>
      <c r="E42" s="279">
        <f>(E39+E40+E41)/(COUNTA(E39:E41))</f>
        <v>29.083333333333332</v>
      </c>
      <c r="F42" s="535"/>
      <c r="G42" s="536"/>
      <c r="H42" s="536"/>
      <c r="I42" s="536"/>
      <c r="J42" s="537"/>
    </row>
    <row r="43" spans="1:10" x14ac:dyDescent="0.3">
      <c r="A43" s="529" t="s">
        <v>32</v>
      </c>
      <c r="B43" s="529" t="s">
        <v>644</v>
      </c>
      <c r="C43" s="538" t="s">
        <v>228</v>
      </c>
      <c r="D43" s="36" t="s">
        <v>223</v>
      </c>
      <c r="E43" s="37">
        <v>34.85</v>
      </c>
      <c r="F43" s="545" t="s">
        <v>596</v>
      </c>
      <c r="G43" s="547"/>
      <c r="H43" s="547"/>
      <c r="I43" s="548"/>
      <c r="J43" s="208">
        <v>45470</v>
      </c>
    </row>
    <row r="44" spans="1:10" x14ac:dyDescent="0.3">
      <c r="A44" s="530"/>
      <c r="B44" s="530"/>
      <c r="C44" s="539"/>
      <c r="D44" s="36" t="s">
        <v>203</v>
      </c>
      <c r="E44" s="37">
        <v>32.72</v>
      </c>
      <c r="F44" s="545" t="s">
        <v>597</v>
      </c>
      <c r="G44" s="547"/>
      <c r="H44" s="547"/>
      <c r="I44" s="548"/>
      <c r="J44" s="208">
        <v>45470</v>
      </c>
    </row>
    <row r="45" spans="1:10" x14ac:dyDescent="0.3">
      <c r="A45" s="531"/>
      <c r="B45" s="531"/>
      <c r="C45" s="540"/>
      <c r="D45" s="36" t="s">
        <v>152</v>
      </c>
      <c r="E45" s="37">
        <v>28.25</v>
      </c>
      <c r="F45" s="545" t="s">
        <v>598</v>
      </c>
      <c r="G45" s="547"/>
      <c r="H45" s="547"/>
      <c r="I45" s="548"/>
      <c r="J45" s="208">
        <v>45470</v>
      </c>
    </row>
    <row r="46" spans="1:10" x14ac:dyDescent="0.3">
      <c r="A46" s="526" t="s">
        <v>520</v>
      </c>
      <c r="B46" s="527"/>
      <c r="C46" s="527"/>
      <c r="D46" s="528"/>
      <c r="E46" s="279">
        <f>(E43+E44+E45)/(COUNTA(E43:E45))</f>
        <v>31.939999999999998</v>
      </c>
      <c r="F46" s="535"/>
      <c r="G46" s="536"/>
      <c r="H46" s="536"/>
      <c r="I46" s="536"/>
      <c r="J46" s="537"/>
    </row>
    <row r="47" spans="1:10" x14ac:dyDescent="0.3">
      <c r="A47" s="529" t="s">
        <v>41</v>
      </c>
      <c r="B47" s="529" t="s">
        <v>645</v>
      </c>
      <c r="C47" s="538" t="s">
        <v>229</v>
      </c>
      <c r="D47" s="36" t="s">
        <v>152</v>
      </c>
      <c r="E47" s="37">
        <v>12.9</v>
      </c>
      <c r="F47" s="545" t="s">
        <v>599</v>
      </c>
      <c r="G47" s="547"/>
      <c r="H47" s="547"/>
      <c r="I47" s="548"/>
      <c r="J47" s="208">
        <v>45470</v>
      </c>
    </row>
    <row r="48" spans="1:10" x14ac:dyDescent="0.3">
      <c r="A48" s="530"/>
      <c r="B48" s="530"/>
      <c r="C48" s="539"/>
      <c r="D48" s="36" t="s">
        <v>203</v>
      </c>
      <c r="E48" s="37">
        <v>15.68</v>
      </c>
      <c r="F48" s="545" t="s">
        <v>600</v>
      </c>
      <c r="G48" s="547"/>
      <c r="H48" s="547"/>
      <c r="I48" s="548"/>
      <c r="J48" s="208">
        <v>45470</v>
      </c>
    </row>
    <row r="49" spans="1:10" x14ac:dyDescent="0.3">
      <c r="A49" s="531"/>
      <c r="B49" s="531"/>
      <c r="C49" s="540"/>
      <c r="D49" s="36" t="s">
        <v>223</v>
      </c>
      <c r="E49" s="37">
        <v>13.04</v>
      </c>
      <c r="F49" s="545" t="s">
        <v>601</v>
      </c>
      <c r="G49" s="547"/>
      <c r="H49" s="547"/>
      <c r="I49" s="548"/>
      <c r="J49" s="208">
        <v>45470</v>
      </c>
    </row>
    <row r="50" spans="1:10" x14ac:dyDescent="0.3">
      <c r="A50" s="526" t="s">
        <v>520</v>
      </c>
      <c r="B50" s="527"/>
      <c r="C50" s="527"/>
      <c r="D50" s="528"/>
      <c r="E50" s="279">
        <f>(E47+E48+E49)/(COUNTA(E47:E49))</f>
        <v>13.873333333333333</v>
      </c>
      <c r="F50" s="535"/>
      <c r="G50" s="536"/>
      <c r="H50" s="536"/>
      <c r="I50" s="536"/>
      <c r="J50" s="537"/>
    </row>
    <row r="51" spans="1:10" x14ac:dyDescent="0.3">
      <c r="A51" s="529" t="s">
        <v>42</v>
      </c>
      <c r="B51" s="529" t="s">
        <v>646</v>
      </c>
      <c r="C51" s="538" t="s">
        <v>230</v>
      </c>
      <c r="D51" s="36" t="s">
        <v>152</v>
      </c>
      <c r="E51" s="37">
        <v>28.19</v>
      </c>
      <c r="F51" s="545" t="s">
        <v>602</v>
      </c>
      <c r="G51" s="547"/>
      <c r="H51" s="547"/>
      <c r="I51" s="548"/>
      <c r="J51" s="208">
        <v>45470</v>
      </c>
    </row>
    <row r="52" spans="1:10" x14ac:dyDescent="0.3">
      <c r="A52" s="530"/>
      <c r="B52" s="530"/>
      <c r="C52" s="539"/>
      <c r="D52" s="36" t="s">
        <v>124</v>
      </c>
      <c r="E52" s="37">
        <v>19.989999999999998</v>
      </c>
      <c r="F52" s="545" t="s">
        <v>603</v>
      </c>
      <c r="G52" s="547"/>
      <c r="H52" s="547"/>
      <c r="I52" s="548"/>
      <c r="J52" s="208">
        <v>45470</v>
      </c>
    </row>
    <row r="53" spans="1:10" x14ac:dyDescent="0.3">
      <c r="A53" s="531"/>
      <c r="B53" s="531"/>
      <c r="C53" s="540"/>
      <c r="D53" s="36" t="s">
        <v>223</v>
      </c>
      <c r="E53" s="37">
        <v>15.99</v>
      </c>
      <c r="F53" s="545" t="s">
        <v>604</v>
      </c>
      <c r="G53" s="547"/>
      <c r="H53" s="547"/>
      <c r="I53" s="548"/>
      <c r="J53" s="208">
        <v>45470</v>
      </c>
    </row>
    <row r="54" spans="1:10" x14ac:dyDescent="0.3">
      <c r="A54" s="526" t="s">
        <v>520</v>
      </c>
      <c r="B54" s="527"/>
      <c r="C54" s="527"/>
      <c r="D54" s="528"/>
      <c r="E54" s="279">
        <f>(E51+E52+E53)/(COUNTA(E51:E53))</f>
        <v>21.39</v>
      </c>
      <c r="F54" s="535"/>
      <c r="G54" s="536"/>
      <c r="H54" s="536"/>
      <c r="I54" s="536"/>
      <c r="J54" s="537"/>
    </row>
    <row r="55" spans="1:10" x14ac:dyDescent="0.3">
      <c r="A55" s="529" t="s">
        <v>43</v>
      </c>
      <c r="B55" s="529" t="s">
        <v>647</v>
      </c>
      <c r="C55" s="538" t="s">
        <v>231</v>
      </c>
      <c r="D55" s="36" t="s">
        <v>203</v>
      </c>
      <c r="E55" s="37">
        <v>47.49</v>
      </c>
      <c r="F55" s="545" t="s">
        <v>605</v>
      </c>
      <c r="G55" s="547"/>
      <c r="H55" s="547"/>
      <c r="I55" s="548"/>
      <c r="J55" s="208">
        <v>45470</v>
      </c>
    </row>
    <row r="56" spans="1:10" x14ac:dyDescent="0.3">
      <c r="A56" s="530"/>
      <c r="B56" s="530"/>
      <c r="C56" s="539"/>
      <c r="D56" s="36" t="s">
        <v>152</v>
      </c>
      <c r="E56" s="37">
        <v>30.75</v>
      </c>
      <c r="F56" s="545" t="s">
        <v>606</v>
      </c>
      <c r="G56" s="547"/>
      <c r="H56" s="547"/>
      <c r="I56" s="548"/>
      <c r="J56" s="208">
        <v>45470</v>
      </c>
    </row>
    <row r="57" spans="1:10" x14ac:dyDescent="0.3">
      <c r="A57" s="531"/>
      <c r="B57" s="531"/>
      <c r="C57" s="540"/>
      <c r="D57" s="36" t="s">
        <v>223</v>
      </c>
      <c r="E57" s="37">
        <v>41.99</v>
      </c>
      <c r="F57" s="545" t="s">
        <v>607</v>
      </c>
      <c r="G57" s="547"/>
      <c r="H57" s="547"/>
      <c r="I57" s="548"/>
      <c r="J57" s="208">
        <v>45470</v>
      </c>
    </row>
    <row r="58" spans="1:10" x14ac:dyDescent="0.3">
      <c r="A58" s="526" t="s">
        <v>520</v>
      </c>
      <c r="B58" s="527"/>
      <c r="C58" s="527"/>
      <c r="D58" s="528"/>
      <c r="E58" s="279">
        <f>(E55+E56+E57)/(COUNTA(E55:E57))</f>
        <v>40.076666666666675</v>
      </c>
      <c r="F58" s="535"/>
      <c r="G58" s="536"/>
      <c r="H58" s="536"/>
      <c r="I58" s="536"/>
      <c r="J58" s="537"/>
    </row>
    <row r="59" spans="1:10" x14ac:dyDescent="0.3">
      <c r="A59" s="529" t="s">
        <v>44</v>
      </c>
      <c r="B59" s="529" t="s">
        <v>648</v>
      </c>
      <c r="C59" s="538" t="s">
        <v>232</v>
      </c>
      <c r="D59" s="36" t="s">
        <v>221</v>
      </c>
      <c r="E59" s="37">
        <v>10.59</v>
      </c>
      <c r="F59" s="545" t="s">
        <v>608</v>
      </c>
      <c r="G59" s="547"/>
      <c r="H59" s="547"/>
      <c r="I59" s="548"/>
      <c r="J59" s="208">
        <v>45470</v>
      </c>
    </row>
    <row r="60" spans="1:10" x14ac:dyDescent="0.3">
      <c r="A60" s="530"/>
      <c r="B60" s="530"/>
      <c r="C60" s="539"/>
      <c r="D60" s="36" t="s">
        <v>222</v>
      </c>
      <c r="E60" s="37">
        <v>10.99</v>
      </c>
      <c r="F60" s="545" t="s">
        <v>609</v>
      </c>
      <c r="G60" s="547"/>
      <c r="H60" s="547"/>
      <c r="I60" s="548"/>
      <c r="J60" s="208">
        <v>45470</v>
      </c>
    </row>
    <row r="61" spans="1:10" x14ac:dyDescent="0.3">
      <c r="A61" s="531"/>
      <c r="B61" s="531"/>
      <c r="C61" s="540"/>
      <c r="D61" s="36" t="s">
        <v>203</v>
      </c>
      <c r="E61" s="37">
        <v>12.99</v>
      </c>
      <c r="F61" s="545" t="s">
        <v>610</v>
      </c>
      <c r="G61" s="547"/>
      <c r="H61" s="547"/>
      <c r="I61" s="548"/>
      <c r="J61" s="208">
        <v>45470</v>
      </c>
    </row>
    <row r="62" spans="1:10" x14ac:dyDescent="0.3">
      <c r="A62" s="526" t="s">
        <v>520</v>
      </c>
      <c r="B62" s="527"/>
      <c r="C62" s="527"/>
      <c r="D62" s="528"/>
      <c r="E62" s="279">
        <f>(E59+E60+E61)/(COUNTA(E59:E61))</f>
        <v>11.523333333333333</v>
      </c>
      <c r="F62" s="535"/>
      <c r="G62" s="536"/>
      <c r="H62" s="536"/>
      <c r="I62" s="536"/>
      <c r="J62" s="537"/>
    </row>
    <row r="63" spans="1:10" x14ac:dyDescent="0.3">
      <c r="A63" s="529" t="s">
        <v>45</v>
      </c>
      <c r="B63" s="529" t="s">
        <v>649</v>
      </c>
      <c r="C63" s="538" t="s">
        <v>233</v>
      </c>
      <c r="D63" s="36" t="s">
        <v>223</v>
      </c>
      <c r="E63" s="37">
        <v>24.99</v>
      </c>
      <c r="F63" s="545" t="s">
        <v>611</v>
      </c>
      <c r="G63" s="547"/>
      <c r="H63" s="547"/>
      <c r="I63" s="548"/>
      <c r="J63" s="208">
        <v>45470</v>
      </c>
    </row>
    <row r="64" spans="1:10" x14ac:dyDescent="0.3">
      <c r="A64" s="530"/>
      <c r="B64" s="530"/>
      <c r="C64" s="539"/>
      <c r="D64" s="36" t="s">
        <v>203</v>
      </c>
      <c r="E64" s="37">
        <v>23.79</v>
      </c>
      <c r="F64" s="545" t="s">
        <v>612</v>
      </c>
      <c r="G64" s="547"/>
      <c r="H64" s="547"/>
      <c r="I64" s="548"/>
      <c r="J64" s="208">
        <v>45470</v>
      </c>
    </row>
    <row r="65" spans="1:10" x14ac:dyDescent="0.3">
      <c r="A65" s="531"/>
      <c r="B65" s="531"/>
      <c r="C65" s="540"/>
      <c r="D65" s="36" t="s">
        <v>222</v>
      </c>
      <c r="E65" s="37">
        <v>22.9</v>
      </c>
      <c r="F65" s="545" t="s">
        <v>613</v>
      </c>
      <c r="G65" s="547"/>
      <c r="H65" s="547"/>
      <c r="I65" s="548"/>
      <c r="J65" s="208">
        <v>45470</v>
      </c>
    </row>
    <row r="66" spans="1:10" x14ac:dyDescent="0.3">
      <c r="A66" s="526" t="s">
        <v>520</v>
      </c>
      <c r="B66" s="527"/>
      <c r="C66" s="527"/>
      <c r="D66" s="528"/>
      <c r="E66" s="279">
        <f>(E63+E64+E65)/(COUNTA(E63:E65))</f>
        <v>23.893333333333334</v>
      </c>
      <c r="F66" s="535"/>
      <c r="G66" s="536"/>
      <c r="H66" s="536"/>
      <c r="I66" s="536"/>
      <c r="J66" s="537"/>
    </row>
    <row r="67" spans="1:10" x14ac:dyDescent="0.3">
      <c r="A67" s="529" t="s">
        <v>205</v>
      </c>
      <c r="B67" s="529" t="s">
        <v>650</v>
      </c>
      <c r="C67" s="538" t="s">
        <v>234</v>
      </c>
      <c r="D67" s="36" t="s">
        <v>221</v>
      </c>
      <c r="E67" s="37">
        <v>2.69</v>
      </c>
      <c r="F67" s="545" t="s">
        <v>614</v>
      </c>
      <c r="G67" s="547"/>
      <c r="H67" s="547"/>
      <c r="I67" s="548"/>
      <c r="J67" s="208">
        <v>45470</v>
      </c>
    </row>
    <row r="68" spans="1:10" x14ac:dyDescent="0.3">
      <c r="A68" s="530"/>
      <c r="B68" s="530"/>
      <c r="C68" s="539"/>
      <c r="D68" s="36" t="s">
        <v>203</v>
      </c>
      <c r="E68" s="37">
        <v>2.42</v>
      </c>
      <c r="F68" s="545" t="s">
        <v>615</v>
      </c>
      <c r="G68" s="547"/>
      <c r="H68" s="547"/>
      <c r="I68" s="548"/>
      <c r="J68" s="208">
        <v>45470</v>
      </c>
    </row>
    <row r="69" spans="1:10" x14ac:dyDescent="0.3">
      <c r="A69" s="531"/>
      <c r="B69" s="531"/>
      <c r="C69" s="540"/>
      <c r="D69" s="36" t="s">
        <v>222</v>
      </c>
      <c r="E69" s="37">
        <v>2.69</v>
      </c>
      <c r="F69" s="545" t="s">
        <v>616</v>
      </c>
      <c r="G69" s="547"/>
      <c r="H69" s="547"/>
      <c r="I69" s="548"/>
      <c r="J69" s="208">
        <v>45470</v>
      </c>
    </row>
    <row r="70" spans="1:10" x14ac:dyDescent="0.3">
      <c r="A70" s="526" t="s">
        <v>520</v>
      </c>
      <c r="B70" s="527"/>
      <c r="C70" s="527"/>
      <c r="D70" s="528"/>
      <c r="E70" s="279">
        <f>(E67+E68+E69)/(COUNTA(E67:E69))</f>
        <v>2.5999999999999996</v>
      </c>
      <c r="F70" s="535"/>
      <c r="G70" s="536"/>
      <c r="H70" s="536"/>
      <c r="I70" s="536"/>
      <c r="J70" s="537"/>
    </row>
  </sheetData>
  <mergeCells count="107">
    <mergeCell ref="A70:D70"/>
    <mergeCell ref="F70:J70"/>
    <mergeCell ref="B6:B7"/>
    <mergeCell ref="B23:B25"/>
    <mergeCell ref="B27:B29"/>
    <mergeCell ref="B31:B33"/>
    <mergeCell ref="B35:B37"/>
    <mergeCell ref="B39:B41"/>
    <mergeCell ref="B43:B45"/>
    <mergeCell ref="B47:B49"/>
    <mergeCell ref="B51:B53"/>
    <mergeCell ref="B55:B57"/>
    <mergeCell ref="B59:B61"/>
    <mergeCell ref="B63:B65"/>
    <mergeCell ref="B67:B69"/>
    <mergeCell ref="A66:D66"/>
    <mergeCell ref="F66:J66"/>
    <mergeCell ref="A67:A69"/>
    <mergeCell ref="C67:C69"/>
    <mergeCell ref="F67:I67"/>
    <mergeCell ref="F68:I68"/>
    <mergeCell ref="F69:I69"/>
    <mergeCell ref="A62:D62"/>
    <mergeCell ref="F62:J62"/>
    <mergeCell ref="A63:A65"/>
    <mergeCell ref="C63:C65"/>
    <mergeCell ref="F63:I63"/>
    <mergeCell ref="F64:I64"/>
    <mergeCell ref="F65:I65"/>
    <mergeCell ref="A58:D58"/>
    <mergeCell ref="F58:J58"/>
    <mergeCell ref="A59:A61"/>
    <mergeCell ref="C59:C61"/>
    <mergeCell ref="F59:I59"/>
    <mergeCell ref="F60:I60"/>
    <mergeCell ref="F61:I61"/>
    <mergeCell ref="A54:D54"/>
    <mergeCell ref="F54:J54"/>
    <mergeCell ref="A55:A57"/>
    <mergeCell ref="C55:C57"/>
    <mergeCell ref="F55:I55"/>
    <mergeCell ref="F56:I56"/>
    <mergeCell ref="F57:I57"/>
    <mergeCell ref="A50:D50"/>
    <mergeCell ref="F50:J50"/>
    <mergeCell ref="A51:A53"/>
    <mergeCell ref="C51:C53"/>
    <mergeCell ref="F51:I51"/>
    <mergeCell ref="F52:I52"/>
    <mergeCell ref="F53:I53"/>
    <mergeCell ref="A46:D46"/>
    <mergeCell ref="F46:J46"/>
    <mergeCell ref="A47:A49"/>
    <mergeCell ref="C47:C49"/>
    <mergeCell ref="F47:I47"/>
    <mergeCell ref="F48:I48"/>
    <mergeCell ref="F49:I49"/>
    <mergeCell ref="A42:D42"/>
    <mergeCell ref="F42:J42"/>
    <mergeCell ref="A43:A45"/>
    <mergeCell ref="C43:C45"/>
    <mergeCell ref="F43:I43"/>
    <mergeCell ref="F44:I44"/>
    <mergeCell ref="F45:I45"/>
    <mergeCell ref="A38:D38"/>
    <mergeCell ref="F38:J38"/>
    <mergeCell ref="A39:A41"/>
    <mergeCell ref="C39:C41"/>
    <mergeCell ref="F39:I39"/>
    <mergeCell ref="F40:I40"/>
    <mergeCell ref="F41:I41"/>
    <mergeCell ref="A34:D34"/>
    <mergeCell ref="F34:J34"/>
    <mergeCell ref="A35:A37"/>
    <mergeCell ref="C35:C37"/>
    <mergeCell ref="F35:I35"/>
    <mergeCell ref="F36:I36"/>
    <mergeCell ref="F37:I37"/>
    <mergeCell ref="A30:D30"/>
    <mergeCell ref="F30:J30"/>
    <mergeCell ref="A31:A33"/>
    <mergeCell ref="C31:C33"/>
    <mergeCell ref="F31:I31"/>
    <mergeCell ref="F32:I32"/>
    <mergeCell ref="F33:I33"/>
    <mergeCell ref="A26:D26"/>
    <mergeCell ref="F26:J26"/>
    <mergeCell ref="A27:A29"/>
    <mergeCell ref="C27:C29"/>
    <mergeCell ref="F27:I27"/>
    <mergeCell ref="F28:I28"/>
    <mergeCell ref="F29:I29"/>
    <mergeCell ref="F22:I22"/>
    <mergeCell ref="A21:J21"/>
    <mergeCell ref="A23:A25"/>
    <mergeCell ref="C23:C25"/>
    <mergeCell ref="F23:I23"/>
    <mergeCell ref="F24:I24"/>
    <mergeCell ref="F25:I25"/>
    <mergeCell ref="K5:N5"/>
    <mergeCell ref="A6:A7"/>
    <mergeCell ref="C6:C7"/>
    <mergeCell ref="D6:I6"/>
    <mergeCell ref="J6:J7"/>
    <mergeCell ref="K6:L6"/>
    <mergeCell ref="M6:N6"/>
    <mergeCell ref="A1:B5"/>
  </mergeCells>
  <phoneticPr fontId="51" type="noConversion"/>
  <hyperlinks>
    <hyperlink ref="F69" r:id="rId1" xr:uid="{89A6F62E-ABB2-4A56-B40E-C16FEE2882CB}"/>
    <hyperlink ref="F68" r:id="rId2" xr:uid="{D19173C5-D1D5-4EA7-8A54-D988FC5E9C0E}"/>
    <hyperlink ref="F67" r:id="rId3" xr:uid="{DB7FCF41-591C-4879-8475-F1D8D0D488C7}"/>
    <hyperlink ref="F65" r:id="rId4" xr:uid="{C582F033-8CCC-44E2-A3FB-72E0E16DB002}"/>
    <hyperlink ref="F64" r:id="rId5" xr:uid="{CA8D7E5B-04BA-4F4A-B249-3711EFDD4A56}"/>
    <hyperlink ref="F63" r:id="rId6" xr:uid="{B1A5652D-E662-4612-B0E5-FA132BA1E0EF}"/>
    <hyperlink ref="F61" r:id="rId7" xr:uid="{2B181F05-412B-4D63-9FE9-B00396E0579C}"/>
    <hyperlink ref="F60" r:id="rId8" xr:uid="{44214436-F235-4B54-BEEA-46146BA355C5}"/>
    <hyperlink ref="F59" r:id="rId9" xr:uid="{F2322B89-CAC7-4158-9C08-00829EC9E354}"/>
    <hyperlink ref="F57" r:id="rId10" xr:uid="{BCB001F1-2FB6-440D-8384-1BED6BF7F766}"/>
    <hyperlink ref="F56" r:id="rId11" xr:uid="{CDA8815B-0B8D-4A4B-A0F1-4D1CC7DF41AA}"/>
    <hyperlink ref="F55" r:id="rId12" xr:uid="{DA326BA9-B30F-4EEC-B579-8E5644AEBEF7}"/>
    <hyperlink ref="F53" r:id="rId13" xr:uid="{F4E72A76-776B-4D31-9741-1E767269F06D}"/>
    <hyperlink ref="F52" r:id="rId14" xr:uid="{512422F9-3894-4DC3-876C-220F0E92BB46}"/>
    <hyperlink ref="F51" r:id="rId15" xr:uid="{F82BB877-A52D-457C-9EFB-DDF093D8D9EE}"/>
    <hyperlink ref="F49" r:id="rId16" xr:uid="{22A5FF64-E5DA-4E1A-BCC7-9A02FC9403E0}"/>
    <hyperlink ref="F48" r:id="rId17" xr:uid="{848494EC-61B9-4B6B-9484-4C090F0859C0}"/>
    <hyperlink ref="F47" r:id="rId18" xr:uid="{255F966A-B626-418F-8423-5C619AE92196}"/>
    <hyperlink ref="F45" r:id="rId19" display="https://www.americanas.com.br/produto/7465113759/sabonete-liquido-perolizado-talco-altz-5-litros-archote?pfm_carac=sabonete-liquido-5l&amp;pfm_index=2&amp;pfm_page=search&amp;pfm_pos=grid&amp;pfm_type=search_page&amp;offerId=64de8c14579fbc8d91c09350&amp;buyboxToken=smartbuybox-acom-v2-b893a312-db23-4da8-a96b-7a39639eb1f1-2024-06-27%2012%3A51%3A26%200000-none-default" xr:uid="{245BE9E1-DA9B-4EE4-9CE1-659B7D62246B}"/>
    <hyperlink ref="F44" r:id="rId20" xr:uid="{67AEE8E9-5D86-4C57-BACE-2931798E0585}"/>
    <hyperlink ref="F43" r:id="rId21" xr:uid="{71E3AC19-008C-4BC6-AD77-C57ABA1C0B4A}"/>
    <hyperlink ref="F41" r:id="rId22" xr:uid="{5CC6D16C-92C2-4C7E-A4B1-0ED0E90EDE0D}"/>
    <hyperlink ref="F40" r:id="rId23" xr:uid="{0800DB1D-0949-457F-BCF6-914E45415660}"/>
    <hyperlink ref="F39" r:id="rId24" xr:uid="{2B68E20F-19C3-4E9E-96A7-570D00D29150}"/>
    <hyperlink ref="F37" r:id="rId25" xr:uid="{73A82807-26C4-4EA2-BC00-5CD4BF92FBF2}"/>
    <hyperlink ref="F36" r:id="rId26" xr:uid="{AC4A5C16-E11C-426A-BCCD-3D3F68AA2BF6}"/>
    <hyperlink ref="F35" r:id="rId27" xr:uid="{CB3F775A-E75A-4168-9CE2-DA1B5D04FFF3}"/>
    <hyperlink ref="F33" r:id="rId28" xr:uid="{9796B4C8-28BB-4867-BEAF-AFC6579180C4}"/>
    <hyperlink ref="F32" r:id="rId29" xr:uid="{5DD74876-5CCA-439A-8633-C6E4D531404D}"/>
    <hyperlink ref="F31" r:id="rId30" xr:uid="{E9C7057A-60A5-4B7F-A405-5445EFBC25D0}"/>
    <hyperlink ref="F29" r:id="rId31" xr:uid="{F171EE36-1806-4D93-AC5A-010159C3A022}"/>
    <hyperlink ref="F28" r:id="rId32" xr:uid="{72693FD4-24BF-4CC6-9725-C84AD897C046}"/>
    <hyperlink ref="F27" r:id="rId33" xr:uid="{04F3E15A-5BC5-4E28-86C4-973BE524C145}"/>
    <hyperlink ref="F25" r:id="rId34" xr:uid="{DE8C584B-EFE8-4441-AD59-2A507CDFC77A}"/>
    <hyperlink ref="F24" r:id="rId35" xr:uid="{5EC8FAA9-5587-4B6C-9920-1600CAC40BF0}"/>
    <hyperlink ref="F23" r:id="rId36" xr:uid="{FE7A2D42-540C-4E06-948C-BBDD240BE007}"/>
  </hyperlinks>
  <pageMargins left="0.511811024" right="0.511811024" top="0.78740157499999996" bottom="0.88749999999999996" header="0.31496062000000002" footer="0.31496062000000002"/>
  <pageSetup paperSize="9" scale="71" fitToHeight="0" orientation="portrait" r:id="rId37"/>
  <headerFooter>
    <oddFooter>&amp;RPrefeitura Municipal de Colatina
Travessa Avelino Guerra, 111, Sagrado Coração de Jesus
Telefone: (27) 3177-7000 | https://colatina.es.gov.br/</oddFooter>
  </headerFooter>
  <drawing r:id="rId3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614A-7661-4F33-B99C-C87D4A2EDED5}">
  <sheetPr>
    <tabColor rgb="FF92D050"/>
    <pageSetUpPr fitToPage="1"/>
  </sheetPr>
  <dimension ref="A1:M42"/>
  <sheetViews>
    <sheetView view="pageBreakPreview" zoomScaleNormal="100" zoomScaleSheetLayoutView="100" workbookViewId="0">
      <selection activeCell="B47" sqref="B47"/>
    </sheetView>
  </sheetViews>
  <sheetFormatPr defaultColWidth="8.88671875" defaultRowHeight="15.6" x14ac:dyDescent="0.3"/>
  <cols>
    <col min="1" max="1" width="14.109375" style="30" customWidth="1"/>
    <col min="2" max="2" width="78.88671875" style="30" customWidth="1"/>
    <col min="3" max="3" width="6.6640625" style="222" bestFit="1" customWidth="1"/>
    <col min="4" max="4" width="4.88671875" style="33" bestFit="1" customWidth="1"/>
    <col min="5" max="5" width="10.5546875" style="30" bestFit="1" customWidth="1"/>
    <col min="6" max="6" width="41.88671875" style="30" bestFit="1" customWidth="1"/>
    <col min="7" max="7" width="11.109375" style="30" bestFit="1" customWidth="1"/>
    <col min="8" max="9" width="13.33203125" style="30" bestFit="1" customWidth="1"/>
    <col min="10" max="10" width="8.88671875" style="30"/>
    <col min="11" max="11" width="13.33203125" style="30" bestFit="1" customWidth="1"/>
    <col min="12" max="12" width="8.88671875" style="30"/>
    <col min="13" max="13" width="13.33203125" style="30" bestFit="1" customWidth="1"/>
    <col min="14" max="16384" width="8.88671875" style="30"/>
  </cols>
  <sheetData>
    <row r="1" spans="1:13" x14ac:dyDescent="0.3">
      <c r="A1" s="498"/>
      <c r="B1" s="50" t="str">
        <f>CPU_Serviços!$C$1</f>
        <v>Prefeitura Municipal de Colatina</v>
      </c>
      <c r="C1" s="50"/>
      <c r="D1" s="50"/>
      <c r="E1" s="179"/>
      <c r="F1" s="179"/>
      <c r="G1" s="179"/>
      <c r="H1" s="179"/>
      <c r="I1" s="179"/>
    </row>
    <row r="2" spans="1:13" x14ac:dyDescent="0.3">
      <c r="A2" s="498"/>
      <c r="B2" s="306" t="str">
        <f>CPU_Serviços!$C$2</f>
        <v>Secretaria Municipal de Habitação e Regularização Fundiária</v>
      </c>
      <c r="C2" s="306"/>
      <c r="D2" s="306"/>
      <c r="E2" s="180"/>
      <c r="F2" s="180"/>
      <c r="G2" s="180"/>
      <c r="H2" s="180"/>
      <c r="I2" s="180"/>
    </row>
    <row r="3" spans="1:13" ht="6.6" customHeight="1" x14ac:dyDescent="0.3">
      <c r="A3" s="498"/>
      <c r="C3" s="30"/>
      <c r="D3" s="30"/>
    </row>
    <row r="4" spans="1:13" x14ac:dyDescent="0.3">
      <c r="A4" s="498"/>
      <c r="B4" s="32" t="s">
        <v>735</v>
      </c>
      <c r="C4" s="223"/>
      <c r="D4" s="218"/>
      <c r="E4" s="32"/>
      <c r="F4" s="32"/>
      <c r="G4" s="32"/>
      <c r="H4" s="32"/>
      <c r="I4" s="32"/>
    </row>
    <row r="5" spans="1:13" x14ac:dyDescent="0.3">
      <c r="A5" s="498"/>
      <c r="B5" s="30" t="s">
        <v>652</v>
      </c>
      <c r="J5" s="471"/>
      <c r="K5" s="471"/>
      <c r="L5" s="471"/>
      <c r="M5" s="471"/>
    </row>
    <row r="6" spans="1:13" x14ac:dyDescent="0.3">
      <c r="A6" s="534" t="s">
        <v>244</v>
      </c>
      <c r="B6" s="534"/>
      <c r="C6" s="247" t="s">
        <v>245</v>
      </c>
      <c r="D6" s="248" t="s">
        <v>246</v>
      </c>
      <c r="E6" s="50"/>
      <c r="F6" s="50"/>
      <c r="G6" s="50"/>
      <c r="H6" s="50"/>
      <c r="I6" s="51"/>
      <c r="J6" s="471"/>
      <c r="K6" s="471"/>
      <c r="L6" s="471"/>
      <c r="M6" s="471"/>
    </row>
    <row r="7" spans="1:13" x14ac:dyDescent="0.3">
      <c r="A7" s="270" t="s">
        <v>224</v>
      </c>
      <c r="B7" s="270"/>
      <c r="C7" s="266">
        <f>2/10</f>
        <v>0.2</v>
      </c>
      <c r="D7" s="262" t="s">
        <v>651</v>
      </c>
      <c r="E7" s="33"/>
      <c r="F7" s="33"/>
      <c r="G7" s="33"/>
      <c r="H7" s="33"/>
      <c r="I7" s="51"/>
      <c r="J7" s="45"/>
      <c r="K7" s="33"/>
      <c r="L7" s="45"/>
      <c r="M7" s="33"/>
    </row>
    <row r="8" spans="1:13" x14ac:dyDescent="0.3">
      <c r="A8" s="70" t="s">
        <v>653</v>
      </c>
      <c r="C8" s="219"/>
      <c r="D8" s="220"/>
      <c r="E8" s="68"/>
      <c r="F8" s="68"/>
      <c r="G8" s="68"/>
      <c r="H8" s="68"/>
      <c r="I8" s="69"/>
      <c r="J8" s="31"/>
      <c r="K8" s="34"/>
      <c r="L8" s="31"/>
      <c r="M8" s="34"/>
    </row>
    <row r="9" spans="1:13" x14ac:dyDescent="0.3">
      <c r="A9" s="217" t="s">
        <v>656</v>
      </c>
      <c r="C9" s="219"/>
      <c r="D9" s="220"/>
      <c r="E9" s="68"/>
      <c r="F9" s="68"/>
      <c r="G9" s="68"/>
      <c r="H9" s="68"/>
      <c r="I9" s="69"/>
      <c r="J9" s="31"/>
      <c r="K9" s="34"/>
      <c r="L9" s="31"/>
      <c r="M9" s="34"/>
    </row>
    <row r="10" spans="1:13" x14ac:dyDescent="0.3">
      <c r="A10" s="270" t="s">
        <v>225</v>
      </c>
      <c r="B10" s="270"/>
      <c r="C10" s="266">
        <f>2/5</f>
        <v>0.4</v>
      </c>
      <c r="D10" s="262" t="s">
        <v>5</v>
      </c>
      <c r="E10" s="68"/>
      <c r="F10" s="68"/>
      <c r="G10" s="68"/>
      <c r="H10" s="68"/>
      <c r="I10" s="69"/>
      <c r="J10" s="31"/>
      <c r="K10" s="34"/>
      <c r="L10" s="31"/>
      <c r="M10" s="34"/>
    </row>
    <row r="11" spans="1:13" x14ac:dyDescent="0.3">
      <c r="A11" s="70" t="s">
        <v>655</v>
      </c>
      <c r="C11" s="533"/>
      <c r="D11" s="220"/>
      <c r="E11" s="68"/>
      <c r="F11" s="68"/>
      <c r="G11" s="68"/>
      <c r="H11" s="68"/>
      <c r="I11" s="69"/>
      <c r="J11" s="31"/>
      <c r="K11" s="34"/>
      <c r="L11" s="31"/>
      <c r="M11" s="34"/>
    </row>
    <row r="12" spans="1:13" x14ac:dyDescent="0.3">
      <c r="A12" s="217" t="s">
        <v>654</v>
      </c>
      <c r="C12" s="533"/>
      <c r="D12" s="220"/>
      <c r="E12" s="68"/>
      <c r="F12" s="68"/>
      <c r="G12" s="68"/>
      <c r="H12" s="68"/>
      <c r="I12" s="69"/>
      <c r="J12" s="31"/>
      <c r="K12" s="34"/>
      <c r="L12" s="31"/>
      <c r="M12" s="34"/>
    </row>
    <row r="13" spans="1:13" x14ac:dyDescent="0.3">
      <c r="A13" s="270" t="s">
        <v>585</v>
      </c>
      <c r="B13" s="270"/>
      <c r="C13" s="266">
        <v>1</v>
      </c>
      <c r="D13" s="262" t="s">
        <v>651</v>
      </c>
      <c r="E13" s="68"/>
      <c r="F13" s="68"/>
      <c r="G13" s="68"/>
      <c r="H13" s="68"/>
      <c r="I13" s="69"/>
      <c r="J13" s="31"/>
      <c r="K13" s="34"/>
      <c r="L13" s="31"/>
      <c r="M13" s="34"/>
    </row>
    <row r="14" spans="1:13" x14ac:dyDescent="0.3">
      <c r="A14" s="532" t="s">
        <v>657</v>
      </c>
      <c r="B14" s="532"/>
      <c r="C14" s="219"/>
      <c r="D14" s="220"/>
      <c r="E14" s="181"/>
    </row>
    <row r="15" spans="1:13" x14ac:dyDescent="0.3">
      <c r="A15" s="217" t="s">
        <v>660</v>
      </c>
      <c r="C15" s="219"/>
      <c r="D15" s="220"/>
    </row>
    <row r="16" spans="1:13" x14ac:dyDescent="0.3">
      <c r="A16" s="261" t="s">
        <v>226</v>
      </c>
      <c r="B16" s="271"/>
      <c r="C16" s="272">
        <v>1</v>
      </c>
      <c r="D16" s="273" t="s">
        <v>651</v>
      </c>
    </row>
    <row r="17" spans="1:10" x14ac:dyDescent="0.3">
      <c r="A17" s="70" t="s">
        <v>658</v>
      </c>
      <c r="C17" s="221"/>
      <c r="D17" s="221"/>
    </row>
    <row r="18" spans="1:10" x14ac:dyDescent="0.3">
      <c r="A18" s="217" t="s">
        <v>659</v>
      </c>
      <c r="C18" s="221"/>
      <c r="D18" s="221"/>
    </row>
    <row r="19" spans="1:10" x14ac:dyDescent="0.3">
      <c r="A19" s="265" t="s">
        <v>227</v>
      </c>
      <c r="B19" s="271"/>
      <c r="C19" s="266">
        <f>1/5</f>
        <v>0.2</v>
      </c>
      <c r="D19" s="262" t="s">
        <v>5</v>
      </c>
    </row>
    <row r="20" spans="1:10" x14ac:dyDescent="0.3">
      <c r="A20" s="70" t="s">
        <v>661</v>
      </c>
      <c r="C20" s="219"/>
      <c r="D20" s="220"/>
    </row>
    <row r="21" spans="1:10" x14ac:dyDescent="0.3">
      <c r="A21" s="85" t="s">
        <v>662</v>
      </c>
    </row>
    <row r="22" spans="1:10" x14ac:dyDescent="0.3">
      <c r="A22" s="261" t="s">
        <v>228</v>
      </c>
      <c r="B22" s="271"/>
      <c r="C22" s="272">
        <f>1/5</f>
        <v>0.2</v>
      </c>
      <c r="D22" s="273" t="s">
        <v>5</v>
      </c>
    </row>
    <row r="23" spans="1:10" x14ac:dyDescent="0.3">
      <c r="A23" s="70" t="s">
        <v>671</v>
      </c>
      <c r="C23" s="219"/>
      <c r="D23" s="220"/>
    </row>
    <row r="24" spans="1:10" x14ac:dyDescent="0.3">
      <c r="A24" s="85" t="s">
        <v>672</v>
      </c>
      <c r="C24" s="219"/>
      <c r="D24" s="220"/>
      <c r="E24" s="50"/>
      <c r="F24" s="50"/>
      <c r="G24" s="50"/>
      <c r="H24" s="50"/>
      <c r="I24" s="50"/>
      <c r="J24" s="50"/>
    </row>
    <row r="25" spans="1:10" x14ac:dyDescent="0.3">
      <c r="A25" s="265" t="s">
        <v>229</v>
      </c>
      <c r="B25" s="271"/>
      <c r="C25" s="266">
        <f>4*4/100</f>
        <v>0.16</v>
      </c>
      <c r="D25" s="262" t="s">
        <v>651</v>
      </c>
    </row>
    <row r="26" spans="1:10" x14ac:dyDescent="0.3">
      <c r="A26" s="70" t="s">
        <v>666</v>
      </c>
      <c r="C26" s="219"/>
      <c r="D26" s="220"/>
    </row>
    <row r="27" spans="1:10" x14ac:dyDescent="0.3">
      <c r="A27" s="85" t="s">
        <v>665</v>
      </c>
    </row>
    <row r="28" spans="1:10" x14ac:dyDescent="0.3">
      <c r="A28" s="261" t="s">
        <v>230</v>
      </c>
      <c r="B28" s="271"/>
      <c r="C28" s="266">
        <f>2*4/100</f>
        <v>0.08</v>
      </c>
      <c r="D28" s="273" t="s">
        <v>651</v>
      </c>
    </row>
    <row r="29" spans="1:10" x14ac:dyDescent="0.3">
      <c r="A29" s="70" t="s">
        <v>663</v>
      </c>
      <c r="C29" s="219"/>
      <c r="D29" s="220"/>
    </row>
    <row r="30" spans="1:10" x14ac:dyDescent="0.3">
      <c r="A30" s="85" t="s">
        <v>664</v>
      </c>
      <c r="C30" s="219"/>
      <c r="D30" s="220"/>
    </row>
    <row r="31" spans="1:10" x14ac:dyDescent="0.3">
      <c r="A31" s="265" t="s">
        <v>231</v>
      </c>
      <c r="B31" s="271"/>
      <c r="C31" s="266">
        <f>1*4/100</f>
        <v>0.04</v>
      </c>
      <c r="D31" s="262" t="s">
        <v>651</v>
      </c>
    </row>
    <row r="32" spans="1:10" x14ac:dyDescent="0.3">
      <c r="A32" s="70" t="s">
        <v>667</v>
      </c>
      <c r="C32" s="219"/>
      <c r="D32" s="220"/>
    </row>
    <row r="33" spans="1:4" x14ac:dyDescent="0.3">
      <c r="A33" s="85" t="s">
        <v>668</v>
      </c>
    </row>
    <row r="34" spans="1:4" x14ac:dyDescent="0.3">
      <c r="A34" s="265" t="s">
        <v>232</v>
      </c>
      <c r="B34" s="271"/>
      <c r="C34" s="266">
        <v>1</v>
      </c>
      <c r="D34" s="262" t="s">
        <v>5</v>
      </c>
    </row>
    <row r="35" spans="1:4" x14ac:dyDescent="0.3">
      <c r="A35" s="70" t="s">
        <v>669</v>
      </c>
      <c r="C35" s="219"/>
      <c r="D35" s="220"/>
    </row>
    <row r="36" spans="1:4" x14ac:dyDescent="0.3">
      <c r="A36" s="85" t="s">
        <v>670</v>
      </c>
    </row>
    <row r="37" spans="1:4" x14ac:dyDescent="0.3">
      <c r="A37" s="261" t="s">
        <v>233</v>
      </c>
      <c r="B37" s="271"/>
      <c r="C37" s="272">
        <f>1/5</f>
        <v>0.2</v>
      </c>
      <c r="D37" s="273" t="s">
        <v>5</v>
      </c>
    </row>
    <row r="38" spans="1:4" x14ac:dyDescent="0.3">
      <c r="A38" s="70" t="s">
        <v>671</v>
      </c>
      <c r="C38" s="219"/>
      <c r="D38" s="220"/>
    </row>
    <row r="39" spans="1:4" x14ac:dyDescent="0.3">
      <c r="A39" s="85" t="s">
        <v>672</v>
      </c>
      <c r="C39" s="219"/>
      <c r="D39" s="220"/>
    </row>
    <row r="40" spans="1:4" x14ac:dyDescent="0.3">
      <c r="A40" s="265" t="s">
        <v>234</v>
      </c>
      <c r="B40" s="271"/>
      <c r="C40" s="266">
        <f>1*2/8</f>
        <v>0.25</v>
      </c>
      <c r="D40" s="262" t="s">
        <v>651</v>
      </c>
    </row>
    <row r="41" spans="1:4" x14ac:dyDescent="0.3">
      <c r="A41" s="70" t="s">
        <v>673</v>
      </c>
      <c r="C41" s="219"/>
      <c r="D41" s="220"/>
    </row>
    <row r="42" spans="1:4" x14ac:dyDescent="0.3">
      <c r="A42" s="85" t="s">
        <v>674</v>
      </c>
    </row>
  </sheetData>
  <mergeCells count="7">
    <mergeCell ref="A14:B14"/>
    <mergeCell ref="C11:C12"/>
    <mergeCell ref="A1:A5"/>
    <mergeCell ref="J5:M5"/>
    <mergeCell ref="A6:B6"/>
    <mergeCell ref="J6:K6"/>
    <mergeCell ref="L6:M6"/>
  </mergeCells>
  <pageMargins left="0.511811024" right="0.511811024" top="0.78740157499999996" bottom="1.03125" header="0.31496062000000002" footer="0.31496062000000002"/>
  <pageSetup paperSize="9" scale="90" fitToHeight="0" orientation="portrait" r:id="rId1"/>
  <headerFooter>
    <oddFooter>&amp;RPrefeitura Municipal de Colatina
Travessa Avelino Guerra, 111, Sagrado Coração de Jesus
Telefone: (27) 3177-7000 | https://colatina.es.gov.br/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L110"/>
  <sheetViews>
    <sheetView view="pageBreakPreview" zoomScaleNormal="100" zoomScaleSheetLayoutView="100" workbookViewId="0">
      <selection activeCell="D11" sqref="D11"/>
    </sheetView>
  </sheetViews>
  <sheetFormatPr defaultColWidth="8.88671875" defaultRowHeight="15.6" x14ac:dyDescent="0.3"/>
  <cols>
    <col min="1" max="1" width="5.109375" style="30" bestFit="1" customWidth="1"/>
    <col min="2" max="2" width="9.33203125" style="30" bestFit="1" customWidth="1"/>
    <col min="3" max="3" width="48.5546875" style="30" bestFit="1" customWidth="1"/>
    <col min="4" max="4" width="16" style="30" bestFit="1" customWidth="1"/>
    <col min="5" max="5" width="10.5546875" style="34" bestFit="1" customWidth="1"/>
    <col min="6" max="6" width="11.109375" style="30" bestFit="1" customWidth="1"/>
    <col min="7" max="8" width="13.33203125" style="30" bestFit="1" customWidth="1"/>
    <col min="9" max="9" width="11.33203125" style="30" bestFit="1" customWidth="1"/>
    <col min="10" max="10" width="13.33203125" style="30" bestFit="1" customWidth="1"/>
    <col min="11" max="11" width="8.88671875" style="30"/>
    <col min="12" max="12" width="13.33203125" style="30" bestFit="1" customWidth="1"/>
    <col min="13" max="16384" width="8.88671875" style="30"/>
  </cols>
  <sheetData>
    <row r="1" spans="1:12" x14ac:dyDescent="0.3">
      <c r="A1" s="524"/>
      <c r="B1" s="196"/>
      <c r="C1" s="50" t="str">
        <f>CPU_Serviços!$C$1</f>
        <v>Prefeitura Municipal de Colatina</v>
      </c>
      <c r="D1" s="50"/>
      <c r="E1" s="50"/>
      <c r="F1" s="50"/>
      <c r="G1" s="50"/>
      <c r="H1" s="50"/>
    </row>
    <row r="2" spans="1:12" x14ac:dyDescent="0.3">
      <c r="A2" s="524"/>
      <c r="B2" s="196"/>
      <c r="C2" s="306" t="str">
        <f>CPU_Serviços!$C$2</f>
        <v>Secretaria Municipal de Habitação e Regularização Fundiária</v>
      </c>
      <c r="D2" s="306"/>
      <c r="E2" s="306"/>
      <c r="F2" s="31"/>
      <c r="G2" s="31"/>
      <c r="H2" s="31"/>
    </row>
    <row r="3" spans="1:12" ht="6.6" customHeight="1" x14ac:dyDescent="0.3">
      <c r="A3" s="524"/>
      <c r="B3" s="196"/>
      <c r="E3" s="30"/>
    </row>
    <row r="4" spans="1:12" x14ac:dyDescent="0.3">
      <c r="A4" s="524"/>
      <c r="B4" s="196"/>
      <c r="C4" s="32" t="s">
        <v>735</v>
      </c>
      <c r="D4" s="32"/>
      <c r="E4" s="32"/>
      <c r="F4" s="32"/>
      <c r="G4" s="32"/>
      <c r="H4" s="32"/>
    </row>
    <row r="5" spans="1:12" x14ac:dyDescent="0.3">
      <c r="A5" s="524"/>
      <c r="B5" s="196"/>
      <c r="C5" s="30" t="s">
        <v>199</v>
      </c>
      <c r="E5" s="30"/>
      <c r="I5" s="471"/>
      <c r="J5" s="471"/>
      <c r="K5" s="471"/>
      <c r="L5" s="471"/>
    </row>
    <row r="6" spans="1:12" x14ac:dyDescent="0.3">
      <c r="A6" s="520" t="s">
        <v>99</v>
      </c>
      <c r="B6" s="520" t="s">
        <v>595</v>
      </c>
      <c r="C6" s="522" t="s">
        <v>200</v>
      </c>
      <c r="D6" s="501" t="s">
        <v>201</v>
      </c>
      <c r="E6" s="502"/>
      <c r="F6" s="502"/>
      <c r="G6" s="503"/>
      <c r="H6" s="504" t="s">
        <v>204</v>
      </c>
      <c r="I6" s="505"/>
      <c r="J6" s="471"/>
      <c r="K6" s="471"/>
      <c r="L6" s="471"/>
    </row>
    <row r="7" spans="1:12" x14ac:dyDescent="0.3">
      <c r="A7" s="521"/>
      <c r="B7" s="521"/>
      <c r="C7" s="523"/>
      <c r="D7" s="243" t="s">
        <v>202</v>
      </c>
      <c r="E7" s="249" t="s">
        <v>150</v>
      </c>
      <c r="F7" s="243" t="s">
        <v>178</v>
      </c>
      <c r="G7" s="243" t="s">
        <v>125</v>
      </c>
      <c r="H7" s="504"/>
      <c r="J7" s="33"/>
      <c r="K7" s="45"/>
      <c r="L7" s="33"/>
    </row>
    <row r="8" spans="1:12" x14ac:dyDescent="0.3">
      <c r="A8" s="66" t="s">
        <v>23</v>
      </c>
      <c r="B8" s="216" t="str">
        <f>VLOOKUP(A8,$A$28:$D$95,2,FALSE)</f>
        <v>IA-K2.01</v>
      </c>
      <c r="C8" s="67" t="str">
        <f>VLOOKUP(A8,$A$28:$D$95,3,FALSE)</f>
        <v>Papel A4 (10 resmas com 500 folhas)</v>
      </c>
      <c r="D8" s="278">
        <f>IFERROR(VLOOKUP($D$7,$D$28:$E$30,2,FALSE),0)</f>
        <v>259.89999999999998</v>
      </c>
      <c r="E8" s="278">
        <f>IFERROR(VLOOKUP(E7,$D$28:$E$30,2,FALSE),0)</f>
        <v>289</v>
      </c>
      <c r="F8" s="278">
        <f>IFERROR(VLOOKUP(F7,$D$28:$E$30,2,FALSE),0)</f>
        <v>0</v>
      </c>
      <c r="G8" s="278">
        <f>IFERROR(VLOOKUP(G7,$D$28:$E$30,2,FALSE),0)</f>
        <v>303.63</v>
      </c>
      <c r="H8" s="37">
        <f>(E8+D8+F8+G8)/3</f>
        <v>284.17666666666668</v>
      </c>
      <c r="I8" s="30" t="s">
        <v>526</v>
      </c>
      <c r="J8" s="34"/>
      <c r="K8" s="31"/>
      <c r="L8" s="34"/>
    </row>
    <row r="9" spans="1:12" x14ac:dyDescent="0.3">
      <c r="A9" s="66" t="s">
        <v>22</v>
      </c>
      <c r="B9" s="216" t="str">
        <f t="shared" ref="B9:B23" si="0">VLOOKUP(A9,$A$28:$D$95,2,FALSE)</f>
        <v>IA-K2.02</v>
      </c>
      <c r="C9" s="67" t="str">
        <f>VLOOKUP(A9,$A$28:$D$95,3,FALSE)</f>
        <v>Borracha plástica (com 24 und)</v>
      </c>
      <c r="D9" s="278">
        <f>IFERROR(VLOOKUP(D7,$D$32:$E$34,2,FALSE),0)</f>
        <v>50.75</v>
      </c>
      <c r="E9" s="278">
        <f>IFERROR(VLOOKUP(E7,$D$32:$E$34,2,FALSE),0)</f>
        <v>43.6</v>
      </c>
      <c r="F9" s="278">
        <f>IFERROR(VLOOKUP(F7,$D$32:$E$34,2,FALSE),0)</f>
        <v>52.29</v>
      </c>
      <c r="G9" s="278">
        <f>IFERROR(VLOOKUP(G7,$D$32:$E$34,2,FALSE),0)</f>
        <v>0</v>
      </c>
      <c r="H9" s="37">
        <f t="shared" ref="H9:H24" si="1">(E9+D9+F9+G9)/3</f>
        <v>48.879999999999995</v>
      </c>
      <c r="J9" s="34"/>
      <c r="K9" s="31"/>
      <c r="L9" s="34"/>
    </row>
    <row r="10" spans="1:12" x14ac:dyDescent="0.3">
      <c r="A10" s="529" t="s">
        <v>21</v>
      </c>
      <c r="B10" s="67" t="str">
        <f>B36</f>
        <v>IA-K2.03A</v>
      </c>
      <c r="C10" s="67" t="str">
        <f>C36</f>
        <v>Caneta Esferográfica vermelha (caixa 50 und)</v>
      </c>
      <c r="D10" s="278">
        <f>IFERROR(VLOOKUP(D7,$D$36:$E$38,2,FALSE),0)</f>
        <v>41.99</v>
      </c>
      <c r="E10" s="278">
        <f>IFERROR(VLOOKUP(E7,$D$36:$E$38,2,FALSE),0)</f>
        <v>45.9</v>
      </c>
      <c r="F10" s="278">
        <f>IFERROR(VLOOKUP(F7,$D$36:$E$38,2,FALSE),0)</f>
        <v>48</v>
      </c>
      <c r="G10" s="278">
        <f>IFERROR(VLOOKUP(G7,$D$36:$E$38,2,FALSE),0)</f>
        <v>0</v>
      </c>
      <c r="H10" s="37">
        <f t="shared" si="1"/>
        <v>45.29666666666666</v>
      </c>
      <c r="J10" s="34"/>
      <c r="K10" s="31"/>
      <c r="L10" s="34"/>
    </row>
    <row r="11" spans="1:12" x14ac:dyDescent="0.3">
      <c r="A11" s="531"/>
      <c r="B11" s="67" t="str">
        <f>B40</f>
        <v>IA-K2.03B</v>
      </c>
      <c r="C11" s="67" t="str">
        <f>C40</f>
        <v>Caneta Esferográfica azul (caixa 50 und)</v>
      </c>
      <c r="D11" s="278">
        <f>IFERROR(VLOOKUP(D7,$D$40:$E$42,2,FALSE),0)</f>
        <v>41.99</v>
      </c>
      <c r="E11" s="278">
        <f t="shared" ref="E11:G11" si="2">IFERROR(VLOOKUP(E7,$D$40:$E$42,2,FALSE),0)</f>
        <v>45.9</v>
      </c>
      <c r="F11" s="278">
        <f t="shared" si="2"/>
        <v>45.9</v>
      </c>
      <c r="G11" s="278">
        <f t="shared" si="2"/>
        <v>0</v>
      </c>
      <c r="H11" s="37">
        <f t="shared" si="1"/>
        <v>44.596666666666664</v>
      </c>
      <c r="I11" s="30" t="s">
        <v>526</v>
      </c>
      <c r="J11" s="34"/>
      <c r="K11" s="31"/>
      <c r="L11" s="34"/>
    </row>
    <row r="12" spans="1:12" x14ac:dyDescent="0.3">
      <c r="A12" s="66" t="s">
        <v>20</v>
      </c>
      <c r="B12" s="216" t="str">
        <f t="shared" si="0"/>
        <v>IA-K2.04</v>
      </c>
      <c r="C12" s="67" t="str">
        <f>VLOOKUP(A12,$A$28:$D$95,3,FALSE)</f>
        <v>Caneta marca texto (caixa com 12und)</v>
      </c>
      <c r="D12" s="278">
        <f>IFERROR(VLOOKUP(D7,$D$44:$E$46,2,FALSE),0)</f>
        <v>0</v>
      </c>
      <c r="E12" s="278">
        <f t="shared" ref="E12:G12" si="3">IFERROR(VLOOKUP(E7,$D$44:$E$46,2,FALSE),0)</f>
        <v>31.3</v>
      </c>
      <c r="F12" s="278">
        <f t="shared" si="3"/>
        <v>21.13</v>
      </c>
      <c r="G12" s="278">
        <f t="shared" si="3"/>
        <v>37.83</v>
      </c>
      <c r="H12" s="37">
        <f t="shared" si="1"/>
        <v>30.086666666666662</v>
      </c>
      <c r="I12" s="30" t="s">
        <v>526</v>
      </c>
      <c r="J12" s="34"/>
      <c r="K12" s="31"/>
      <c r="L12" s="34"/>
    </row>
    <row r="13" spans="1:12" x14ac:dyDescent="0.3">
      <c r="A13" s="66" t="s">
        <v>29</v>
      </c>
      <c r="B13" s="216" t="str">
        <f t="shared" si="0"/>
        <v>IA-K2.05</v>
      </c>
      <c r="C13" s="67" t="str">
        <f t="shared" ref="C13:C24" si="4">VLOOKUP(A13,$A$28:$D$95,3,FALSE)</f>
        <v>Clipes n.º 2/0 caixa com 730und</v>
      </c>
      <c r="D13" s="278">
        <f>IFERROR(VLOOKUP(D7,$D$48:$E$50,2,FALSE),0)</f>
        <v>12.99</v>
      </c>
      <c r="E13" s="278">
        <f t="shared" ref="E13:G13" si="5">IFERROR(VLOOKUP(E7,$D$48:$E$50,2,FALSE),0)</f>
        <v>19</v>
      </c>
      <c r="F13" s="278">
        <f t="shared" si="5"/>
        <v>19.62</v>
      </c>
      <c r="G13" s="278">
        <f t="shared" si="5"/>
        <v>0</v>
      </c>
      <c r="H13" s="37">
        <f t="shared" si="1"/>
        <v>17.203333333333333</v>
      </c>
      <c r="I13" s="30" t="s">
        <v>526</v>
      </c>
    </row>
    <row r="14" spans="1:12" x14ac:dyDescent="0.3">
      <c r="A14" s="66" t="s">
        <v>32</v>
      </c>
      <c r="B14" s="216" t="str">
        <f t="shared" si="0"/>
        <v>IA-K2.06</v>
      </c>
      <c r="C14" s="67" t="str">
        <f t="shared" si="4"/>
        <v>Clipes n.º 8/0 caixa com 137und</v>
      </c>
      <c r="D14" s="278">
        <f>IFERROR(VLOOKUP(D7,$D$52:$E$54,2,FALSE),0)</f>
        <v>14.99</v>
      </c>
      <c r="E14" s="278">
        <f t="shared" ref="E14:G14" si="6">IFERROR(VLOOKUP(E7,$D$52:$E$54,2,FALSE),0)</f>
        <v>22.9</v>
      </c>
      <c r="F14" s="278">
        <f t="shared" si="6"/>
        <v>24.55</v>
      </c>
      <c r="G14" s="278">
        <f t="shared" si="6"/>
        <v>0</v>
      </c>
      <c r="H14" s="37">
        <f t="shared" si="1"/>
        <v>20.813333333333333</v>
      </c>
      <c r="J14" s="161"/>
    </row>
    <row r="15" spans="1:12" x14ac:dyDescent="0.3">
      <c r="A15" s="66" t="s">
        <v>41</v>
      </c>
      <c r="B15" s="216" t="str">
        <f t="shared" si="0"/>
        <v>IA-K2.07</v>
      </c>
      <c r="C15" s="67" t="str">
        <f t="shared" si="4"/>
        <v>Cola branca 40g (pacote com 12 und)</v>
      </c>
      <c r="D15" s="278">
        <f>IFERROR(VLOOKUP(D7,$D$56:$E$58,2,FALSE),0)</f>
        <v>0</v>
      </c>
      <c r="E15" s="278">
        <f t="shared" ref="E15:G15" si="7">IFERROR(VLOOKUP(E7,$D$56:$E$58,2,FALSE),0)</f>
        <v>22.799999999999997</v>
      </c>
      <c r="F15" s="278">
        <f t="shared" si="7"/>
        <v>39.17</v>
      </c>
      <c r="G15" s="278">
        <f t="shared" si="7"/>
        <v>35.9</v>
      </c>
      <c r="H15" s="37">
        <f t="shared" si="1"/>
        <v>32.623333333333335</v>
      </c>
      <c r="I15" s="70" t="s">
        <v>534</v>
      </c>
    </row>
    <row r="16" spans="1:12" x14ac:dyDescent="0.3">
      <c r="A16" s="66" t="s">
        <v>42</v>
      </c>
      <c r="B16" s="216" t="str">
        <f t="shared" si="0"/>
        <v>IA-K2.08</v>
      </c>
      <c r="C16" s="67" t="str">
        <f t="shared" si="4"/>
        <v>Envelope papel 240x340mm (com 100 und)</v>
      </c>
      <c r="D16" s="278">
        <f>IFERROR(VLOOKUP(D7,$D$60:$E$62,2,FALSE),0)</f>
        <v>40.15</v>
      </c>
      <c r="E16" s="278">
        <f t="shared" ref="E16:G16" si="8">IFERROR(VLOOKUP(E7,$D$60:$E$62,2,FALSE),0)</f>
        <v>45.9</v>
      </c>
      <c r="F16" s="278">
        <f>IFERROR(VLOOKUP(F7,$D$60:$E$62,2,FALSE),0)</f>
        <v>55.16</v>
      </c>
      <c r="G16" s="278">
        <f t="shared" si="8"/>
        <v>0</v>
      </c>
      <c r="H16" s="37">
        <f t="shared" si="1"/>
        <v>47.069999999999993</v>
      </c>
      <c r="I16" s="30" t="s">
        <v>526</v>
      </c>
    </row>
    <row r="17" spans="1:9" x14ac:dyDescent="0.3">
      <c r="A17" s="66" t="s">
        <v>43</v>
      </c>
      <c r="B17" s="216" t="str">
        <f t="shared" si="0"/>
        <v>IA-K2.09</v>
      </c>
      <c r="C17" s="67" t="str">
        <f t="shared" si="4"/>
        <v>Fita adesiva 18mmx50m (caixa com 7 und)</v>
      </c>
      <c r="D17" s="278">
        <f>IFERROR(VLOOKUP(D7,$D$64:$E$66,2,FALSE),0)</f>
        <v>23.27</v>
      </c>
      <c r="E17" s="278">
        <f t="shared" ref="E17:G17" si="9">IFERROR(VLOOKUP(E7,$D$64:$E$66,2,FALSE),0)</f>
        <v>0</v>
      </c>
      <c r="F17" s="278">
        <f t="shared" si="9"/>
        <v>22.4</v>
      </c>
      <c r="G17" s="278">
        <f t="shared" si="9"/>
        <v>37.26</v>
      </c>
      <c r="H17" s="37">
        <f t="shared" si="1"/>
        <v>27.643333333333334</v>
      </c>
      <c r="I17" s="70" t="s">
        <v>534</v>
      </c>
    </row>
    <row r="18" spans="1:9" x14ac:dyDescent="0.3">
      <c r="A18" s="66" t="s">
        <v>44</v>
      </c>
      <c r="B18" s="216" t="str">
        <f t="shared" si="0"/>
        <v>IA-K2.10</v>
      </c>
      <c r="C18" s="67" t="str">
        <f t="shared" si="4"/>
        <v>Grafite 0,7mm HB (pacote com 12 caixas com 12 minas)</v>
      </c>
      <c r="D18" s="278">
        <f>IFERROR(VLOOKUP(D7,$D$68:$E$70,2,FALSE),0)</f>
        <v>41.53</v>
      </c>
      <c r="E18" s="278">
        <f t="shared" ref="E18:G18" si="10">IFERROR(VLOOKUP(E7,$D$68:$E$70,2,FALSE),0)</f>
        <v>0</v>
      </c>
      <c r="F18" s="278">
        <f t="shared" si="10"/>
        <v>31.81</v>
      </c>
      <c r="G18" s="278">
        <f t="shared" si="10"/>
        <v>28.31</v>
      </c>
      <c r="H18" s="37">
        <f t="shared" si="1"/>
        <v>33.883333333333333</v>
      </c>
    </row>
    <row r="19" spans="1:9" x14ac:dyDescent="0.3">
      <c r="A19" s="66" t="s">
        <v>45</v>
      </c>
      <c r="B19" s="216" t="str">
        <f t="shared" si="0"/>
        <v>IA-K2.11</v>
      </c>
      <c r="C19" s="67" t="str">
        <f t="shared" si="4"/>
        <v>Lapiseira plástica 0,7mm</v>
      </c>
      <c r="D19" s="278">
        <f>IFERROR(VLOOKUP(D7,$D$72:$E$74,2,FALSE),0)</f>
        <v>14.47</v>
      </c>
      <c r="E19" s="278">
        <f t="shared" ref="E19:G19" si="11">IFERROR(VLOOKUP(E7,$D$72:$E$74,2,FALSE),0)</f>
        <v>0</v>
      </c>
      <c r="F19" s="278">
        <f t="shared" si="11"/>
        <v>20.66</v>
      </c>
      <c r="G19" s="278">
        <f t="shared" si="11"/>
        <v>20.149999999999999</v>
      </c>
      <c r="H19" s="37">
        <f t="shared" si="1"/>
        <v>18.426666666666666</v>
      </c>
    </row>
    <row r="20" spans="1:9" x14ac:dyDescent="0.3">
      <c r="A20" s="66" t="s">
        <v>205</v>
      </c>
      <c r="B20" s="216" t="str">
        <f t="shared" si="0"/>
        <v>IA-K2.12</v>
      </c>
      <c r="C20" s="67" t="str">
        <f t="shared" si="4"/>
        <v>Caneta CD/DVD preta</v>
      </c>
      <c r="D20" s="278">
        <f>IFERROR(VLOOKUP(D7,$D$76:$E$78,2,FALSE),0)</f>
        <v>0</v>
      </c>
      <c r="E20" s="278">
        <f t="shared" ref="E20:G20" si="12">IFERROR(VLOOKUP(E7,$D$76:$E$78,2,FALSE),0)</f>
        <v>7.4</v>
      </c>
      <c r="F20" s="278">
        <f t="shared" si="12"/>
        <v>8.4</v>
      </c>
      <c r="G20" s="278">
        <f t="shared" si="12"/>
        <v>13.2</v>
      </c>
      <c r="H20" s="37">
        <f t="shared" si="1"/>
        <v>9.6666666666666661</v>
      </c>
    </row>
    <row r="21" spans="1:9" x14ac:dyDescent="0.3">
      <c r="A21" s="66" t="s">
        <v>206</v>
      </c>
      <c r="B21" s="216" t="str">
        <f t="shared" si="0"/>
        <v>IA-K2.13</v>
      </c>
      <c r="C21" s="67" t="str">
        <f t="shared" si="4"/>
        <v>Cola Bastão 10g (caixa com 12 und)</v>
      </c>
      <c r="D21" s="278">
        <f>IFERROR(VLOOKUP(D7,$D$80:$E$82,2,FALSE),0)</f>
        <v>13.1</v>
      </c>
      <c r="E21" s="278">
        <f t="shared" ref="E21:G21" si="13">IFERROR(VLOOKUP(E7,$D$80:$E$82,2,FALSE),0)</f>
        <v>20</v>
      </c>
      <c r="F21" s="278">
        <f t="shared" si="13"/>
        <v>20.64</v>
      </c>
      <c r="G21" s="278">
        <f t="shared" si="13"/>
        <v>0</v>
      </c>
      <c r="H21" s="37">
        <f t="shared" si="1"/>
        <v>17.913333333333334</v>
      </c>
    </row>
    <row r="22" spans="1:9" x14ac:dyDescent="0.3">
      <c r="A22" s="66" t="s">
        <v>207</v>
      </c>
      <c r="B22" s="216" t="str">
        <f t="shared" si="0"/>
        <v>IA-K2.14</v>
      </c>
      <c r="C22" s="67" t="str">
        <f t="shared" si="4"/>
        <v>Grampo 26/6 cobreado (caixa com 5000 und)</v>
      </c>
      <c r="D22" s="278">
        <f>IFERROR(VLOOKUP(D7,$D$84:$E$86,2,FALSE),0)</f>
        <v>7.79</v>
      </c>
      <c r="E22" s="278">
        <f t="shared" ref="E22:G22" si="14">IFERROR(VLOOKUP(E7,$D$84:$E$86,2,FALSE),0)</f>
        <v>9.5</v>
      </c>
      <c r="F22" s="278">
        <f t="shared" si="14"/>
        <v>13.28</v>
      </c>
      <c r="G22" s="278">
        <f t="shared" si="14"/>
        <v>0</v>
      </c>
      <c r="H22" s="37">
        <f t="shared" si="1"/>
        <v>10.19</v>
      </c>
      <c r="I22" s="30" t="s">
        <v>526</v>
      </c>
    </row>
    <row r="23" spans="1:9" x14ac:dyDescent="0.3">
      <c r="A23" s="66" t="s">
        <v>208</v>
      </c>
      <c r="B23" s="216" t="str">
        <f t="shared" si="0"/>
        <v>IA-K2.15</v>
      </c>
      <c r="C23" s="67" t="str">
        <f t="shared" si="4"/>
        <v>DVD (pino com 50und)</v>
      </c>
      <c r="D23" s="278">
        <f>IFERROR(VLOOKUP(D7,$D$88:$E$90,2,FALSE),0)</f>
        <v>51.86</v>
      </c>
      <c r="E23" s="278">
        <f t="shared" ref="E23:G23" si="15">IFERROR(VLOOKUP(E7,$D$88:$E$90,2,FALSE),0)</f>
        <v>0</v>
      </c>
      <c r="F23" s="278">
        <f t="shared" si="15"/>
        <v>55</v>
      </c>
      <c r="G23" s="278">
        <f t="shared" si="15"/>
        <v>59.99</v>
      </c>
      <c r="H23" s="37">
        <f t="shared" si="1"/>
        <v>55.616666666666667</v>
      </c>
      <c r="I23" s="70" t="s">
        <v>534</v>
      </c>
    </row>
    <row r="24" spans="1:9" x14ac:dyDescent="0.3">
      <c r="A24" s="66" t="s">
        <v>209</v>
      </c>
      <c r="B24" s="216" t="str">
        <f>VLOOKUP(A24,$A$28:$D$95,2,FALSE)</f>
        <v>IA-K2.16</v>
      </c>
      <c r="C24" s="67" t="str">
        <f t="shared" si="4"/>
        <v>Papel A3 (pacotes com 500 folhas)</v>
      </c>
      <c r="D24" s="278">
        <f>IFERROR(VLOOKUP(D7,$D$92:$E$94,2,FALSE),0)</f>
        <v>63.22</v>
      </c>
      <c r="E24" s="278">
        <f t="shared" ref="E24:G24" si="16">IFERROR(VLOOKUP(E7,$D$92:$E$94,2,FALSE),0)</f>
        <v>71.3</v>
      </c>
      <c r="F24" s="278">
        <f t="shared" si="16"/>
        <v>71.3</v>
      </c>
      <c r="G24" s="278">
        <f t="shared" si="16"/>
        <v>0</v>
      </c>
      <c r="H24" s="37">
        <f t="shared" si="1"/>
        <v>68.606666666666669</v>
      </c>
    </row>
    <row r="25" spans="1:9" ht="6" customHeight="1" x14ac:dyDescent="0.3"/>
    <row r="26" spans="1:9" x14ac:dyDescent="0.3">
      <c r="A26" s="499" t="s">
        <v>500</v>
      </c>
      <c r="B26" s="499"/>
      <c r="C26" s="499"/>
      <c r="D26" s="499"/>
      <c r="E26" s="499"/>
      <c r="F26" s="499"/>
      <c r="G26" s="499"/>
      <c r="H26" s="499"/>
    </row>
    <row r="27" spans="1:9" x14ac:dyDescent="0.3">
      <c r="A27" s="243" t="s">
        <v>99</v>
      </c>
      <c r="B27" s="243" t="s">
        <v>50</v>
      </c>
      <c r="C27" s="243" t="s">
        <v>200</v>
      </c>
      <c r="D27" s="243" t="s">
        <v>501</v>
      </c>
      <c r="E27" s="249" t="s">
        <v>52</v>
      </c>
      <c r="F27" s="499" t="s">
        <v>502</v>
      </c>
      <c r="G27" s="499"/>
      <c r="H27" s="243" t="s">
        <v>503</v>
      </c>
    </row>
    <row r="28" spans="1:9" x14ac:dyDescent="0.3">
      <c r="A28" s="516" t="s">
        <v>23</v>
      </c>
      <c r="B28" s="529" t="s">
        <v>622</v>
      </c>
      <c r="C28" s="517" t="s">
        <v>676</v>
      </c>
      <c r="D28" s="36" t="s">
        <v>202</v>
      </c>
      <c r="E28" s="37">
        <v>259.89999999999998</v>
      </c>
      <c r="F28" s="518" t="s">
        <v>506</v>
      </c>
      <c r="G28" s="519"/>
      <c r="H28" s="208">
        <v>45468</v>
      </c>
    </row>
    <row r="29" spans="1:9" x14ac:dyDescent="0.3">
      <c r="A29" s="516"/>
      <c r="B29" s="530"/>
      <c r="C29" s="517"/>
      <c r="D29" s="36" t="s">
        <v>504</v>
      </c>
      <c r="E29" s="37">
        <v>289</v>
      </c>
      <c r="F29" s="518" t="s">
        <v>505</v>
      </c>
      <c r="G29" s="518"/>
      <c r="H29" s="208">
        <v>45468</v>
      </c>
    </row>
    <row r="30" spans="1:9" x14ac:dyDescent="0.3">
      <c r="A30" s="516"/>
      <c r="B30" s="531"/>
      <c r="C30" s="517"/>
      <c r="D30" s="36" t="s">
        <v>125</v>
      </c>
      <c r="E30" s="37">
        <v>303.63</v>
      </c>
      <c r="F30" s="518" t="s">
        <v>675</v>
      </c>
      <c r="G30" s="519"/>
      <c r="H30" s="208">
        <v>45468</v>
      </c>
    </row>
    <row r="31" spans="1:9" x14ac:dyDescent="0.3">
      <c r="A31" s="526" t="s">
        <v>520</v>
      </c>
      <c r="B31" s="527"/>
      <c r="C31" s="527"/>
      <c r="D31" s="528"/>
      <c r="E31" s="279">
        <f>(E28+E29+E30)/(COUNTA(E28:E30))</f>
        <v>284.17666666666668</v>
      </c>
      <c r="F31" s="535"/>
      <c r="G31" s="536"/>
      <c r="H31" s="537"/>
    </row>
    <row r="32" spans="1:9" x14ac:dyDescent="0.3">
      <c r="A32" s="516" t="s">
        <v>22</v>
      </c>
      <c r="B32" s="529" t="s">
        <v>623</v>
      </c>
      <c r="C32" s="517" t="s">
        <v>498</v>
      </c>
      <c r="D32" s="36" t="s">
        <v>178</v>
      </c>
      <c r="E32" s="37">
        <v>52.29</v>
      </c>
      <c r="F32" s="519" t="s">
        <v>507</v>
      </c>
      <c r="G32" s="519"/>
      <c r="H32" s="208">
        <v>45468</v>
      </c>
    </row>
    <row r="33" spans="1:8" x14ac:dyDescent="0.3">
      <c r="A33" s="516"/>
      <c r="B33" s="530"/>
      <c r="C33" s="517"/>
      <c r="D33" s="36" t="s">
        <v>202</v>
      </c>
      <c r="E33" s="37">
        <v>50.75</v>
      </c>
      <c r="F33" s="518" t="s">
        <v>508</v>
      </c>
      <c r="G33" s="518"/>
      <c r="H33" s="208">
        <v>45468</v>
      </c>
    </row>
    <row r="34" spans="1:8" x14ac:dyDescent="0.3">
      <c r="A34" s="516"/>
      <c r="B34" s="531"/>
      <c r="C34" s="517"/>
      <c r="D34" s="36" t="s">
        <v>504</v>
      </c>
      <c r="E34" s="37">
        <v>43.6</v>
      </c>
      <c r="F34" s="518" t="s">
        <v>509</v>
      </c>
      <c r="G34" s="519"/>
      <c r="H34" s="208">
        <v>45468</v>
      </c>
    </row>
    <row r="35" spans="1:8" x14ac:dyDescent="0.3">
      <c r="A35" s="526" t="s">
        <v>520</v>
      </c>
      <c r="B35" s="527"/>
      <c r="C35" s="527"/>
      <c r="D35" s="528"/>
      <c r="E35" s="279">
        <f>(E32+E33+E34)/(COUNTA(E32:E34))</f>
        <v>48.879999999999995</v>
      </c>
      <c r="F35" s="535"/>
      <c r="G35" s="536"/>
      <c r="H35" s="537"/>
    </row>
    <row r="36" spans="1:8" x14ac:dyDescent="0.3">
      <c r="A36" s="529" t="s">
        <v>21</v>
      </c>
      <c r="B36" s="529" t="s">
        <v>624</v>
      </c>
      <c r="C36" s="517" t="s">
        <v>210</v>
      </c>
      <c r="D36" s="36" t="s">
        <v>178</v>
      </c>
      <c r="E36" s="37">
        <v>48</v>
      </c>
      <c r="F36" s="543" t="s">
        <v>510</v>
      </c>
      <c r="G36" s="544"/>
      <c r="H36" s="208">
        <v>45468</v>
      </c>
    </row>
    <row r="37" spans="1:8" x14ac:dyDescent="0.3">
      <c r="A37" s="530"/>
      <c r="B37" s="530"/>
      <c r="C37" s="517"/>
      <c r="D37" s="36" t="s">
        <v>202</v>
      </c>
      <c r="E37" s="37">
        <v>41.99</v>
      </c>
      <c r="F37" s="545" t="s">
        <v>512</v>
      </c>
      <c r="G37" s="544"/>
      <c r="H37" s="208">
        <v>45468</v>
      </c>
    </row>
    <row r="38" spans="1:8" x14ac:dyDescent="0.3">
      <c r="A38" s="530"/>
      <c r="B38" s="531"/>
      <c r="C38" s="517"/>
      <c r="D38" s="36" t="s">
        <v>504</v>
      </c>
      <c r="E38" s="37">
        <v>45.9</v>
      </c>
      <c r="F38" s="545" t="s">
        <v>514</v>
      </c>
      <c r="G38" s="544"/>
      <c r="H38" s="208">
        <v>45468</v>
      </c>
    </row>
    <row r="39" spans="1:8" x14ac:dyDescent="0.3">
      <c r="A39" s="530"/>
      <c r="B39" s="280"/>
      <c r="C39" s="541" t="s">
        <v>520</v>
      </c>
      <c r="D39" s="542"/>
      <c r="E39" s="279">
        <f>(E36+E37+E38)/(COUNTA(E36:E38))</f>
        <v>45.296666666666674</v>
      </c>
      <c r="F39" s="535"/>
      <c r="G39" s="536"/>
      <c r="H39" s="537"/>
    </row>
    <row r="40" spans="1:8" x14ac:dyDescent="0.3">
      <c r="A40" s="530"/>
      <c r="B40" s="529" t="s">
        <v>625</v>
      </c>
      <c r="C40" s="517" t="s">
        <v>211</v>
      </c>
      <c r="D40" s="36" t="s">
        <v>178</v>
      </c>
      <c r="E40" s="37">
        <v>45.9</v>
      </c>
      <c r="F40" s="543" t="s">
        <v>511</v>
      </c>
      <c r="G40" s="544"/>
      <c r="H40" s="208">
        <v>45468</v>
      </c>
    </row>
    <row r="41" spans="1:8" x14ac:dyDescent="0.3">
      <c r="A41" s="530"/>
      <c r="B41" s="530"/>
      <c r="C41" s="517"/>
      <c r="D41" s="36" t="s">
        <v>202</v>
      </c>
      <c r="E41" s="37">
        <v>41.99</v>
      </c>
      <c r="F41" s="545" t="s">
        <v>513</v>
      </c>
      <c r="G41" s="544"/>
      <c r="H41" s="208">
        <v>45468</v>
      </c>
    </row>
    <row r="42" spans="1:8" x14ac:dyDescent="0.3">
      <c r="A42" s="531"/>
      <c r="B42" s="531"/>
      <c r="C42" s="517"/>
      <c r="D42" s="36" t="s">
        <v>504</v>
      </c>
      <c r="E42" s="37">
        <v>45.9</v>
      </c>
      <c r="F42" s="545" t="s">
        <v>515</v>
      </c>
      <c r="G42" s="544"/>
      <c r="H42" s="208">
        <v>45468</v>
      </c>
    </row>
    <row r="43" spans="1:8" x14ac:dyDescent="0.3">
      <c r="A43" s="526" t="s">
        <v>520</v>
      </c>
      <c r="B43" s="527"/>
      <c r="C43" s="527"/>
      <c r="D43" s="528"/>
      <c r="E43" s="279">
        <f>(E40+E41+E42)/(COUNTA(E40:E42))</f>
        <v>44.596666666666664</v>
      </c>
      <c r="F43" s="535"/>
      <c r="G43" s="536"/>
      <c r="H43" s="537"/>
    </row>
    <row r="44" spans="1:8" x14ac:dyDescent="0.3">
      <c r="A44" s="516" t="s">
        <v>20</v>
      </c>
      <c r="B44" s="529" t="s">
        <v>626</v>
      </c>
      <c r="C44" s="517" t="s">
        <v>516</v>
      </c>
      <c r="D44" s="36" t="s">
        <v>178</v>
      </c>
      <c r="E44" s="37">
        <v>21.13</v>
      </c>
      <c r="F44" s="519" t="s">
        <v>517</v>
      </c>
      <c r="G44" s="519"/>
      <c r="H44" s="208">
        <v>45468</v>
      </c>
    </row>
    <row r="45" spans="1:8" x14ac:dyDescent="0.3">
      <c r="A45" s="516"/>
      <c r="B45" s="530"/>
      <c r="C45" s="517"/>
      <c r="D45" s="36" t="s">
        <v>125</v>
      </c>
      <c r="E45" s="37">
        <v>37.83</v>
      </c>
      <c r="F45" s="518" t="s">
        <v>519</v>
      </c>
      <c r="G45" s="519"/>
      <c r="H45" s="208">
        <v>45468</v>
      </c>
    </row>
    <row r="46" spans="1:8" x14ac:dyDescent="0.3">
      <c r="A46" s="516"/>
      <c r="B46" s="531"/>
      <c r="C46" s="517"/>
      <c r="D46" s="36" t="s">
        <v>504</v>
      </c>
      <c r="E46" s="37">
        <v>31.3</v>
      </c>
      <c r="F46" s="518" t="s">
        <v>518</v>
      </c>
      <c r="G46" s="519"/>
      <c r="H46" s="208">
        <v>45468</v>
      </c>
    </row>
    <row r="47" spans="1:8" x14ac:dyDescent="0.3">
      <c r="A47" s="526" t="s">
        <v>520</v>
      </c>
      <c r="B47" s="527"/>
      <c r="C47" s="527"/>
      <c r="D47" s="528"/>
      <c r="E47" s="279">
        <f>(E44+E45+E46)/(COUNTA(E44:E46))</f>
        <v>30.086666666666662</v>
      </c>
      <c r="F47" s="535"/>
      <c r="G47" s="536"/>
      <c r="H47" s="537"/>
    </row>
    <row r="48" spans="1:8" x14ac:dyDescent="0.3">
      <c r="A48" s="529" t="s">
        <v>29</v>
      </c>
      <c r="B48" s="529" t="s">
        <v>627</v>
      </c>
      <c r="C48" s="538" t="s">
        <v>499</v>
      </c>
      <c r="D48" s="36" t="s">
        <v>178</v>
      </c>
      <c r="E48" s="37">
        <v>19.62</v>
      </c>
      <c r="F48" s="519" t="s">
        <v>522</v>
      </c>
      <c r="G48" s="519"/>
      <c r="H48" s="208">
        <v>45468</v>
      </c>
    </row>
    <row r="49" spans="1:8" x14ac:dyDescent="0.3">
      <c r="A49" s="530"/>
      <c r="B49" s="530"/>
      <c r="C49" s="539"/>
      <c r="D49" s="36" t="s">
        <v>202</v>
      </c>
      <c r="E49" s="37">
        <v>12.99</v>
      </c>
      <c r="F49" s="518" t="s">
        <v>521</v>
      </c>
      <c r="G49" s="519"/>
      <c r="H49" s="208">
        <v>45468</v>
      </c>
    </row>
    <row r="50" spans="1:8" x14ac:dyDescent="0.3">
      <c r="A50" s="531"/>
      <c r="B50" s="531"/>
      <c r="C50" s="540"/>
      <c r="D50" s="36" t="s">
        <v>504</v>
      </c>
      <c r="E50" s="37">
        <v>19</v>
      </c>
      <c r="F50" s="518" t="s">
        <v>523</v>
      </c>
      <c r="G50" s="519"/>
      <c r="H50" s="208">
        <v>45468</v>
      </c>
    </row>
    <row r="51" spans="1:8" x14ac:dyDescent="0.3">
      <c r="A51" s="526" t="s">
        <v>520</v>
      </c>
      <c r="B51" s="527"/>
      <c r="C51" s="527"/>
      <c r="D51" s="528"/>
      <c r="E51" s="279">
        <f>(E48+E49+E50)/(COUNTA(E48:E50))</f>
        <v>17.203333333333333</v>
      </c>
      <c r="F51" s="535"/>
      <c r="G51" s="536"/>
      <c r="H51" s="537"/>
    </row>
    <row r="52" spans="1:8" x14ac:dyDescent="0.3">
      <c r="A52" s="529" t="s">
        <v>32</v>
      </c>
      <c r="B52" s="529" t="s">
        <v>628</v>
      </c>
      <c r="C52" s="517" t="s">
        <v>525</v>
      </c>
      <c r="D52" s="36" t="s">
        <v>178</v>
      </c>
      <c r="E52" s="37">
        <v>24.55</v>
      </c>
      <c r="F52" s="519" t="s">
        <v>524</v>
      </c>
      <c r="G52" s="519"/>
      <c r="H52" s="208">
        <v>45468</v>
      </c>
    </row>
    <row r="53" spans="1:8" x14ac:dyDescent="0.3">
      <c r="A53" s="530"/>
      <c r="B53" s="530"/>
      <c r="C53" s="517"/>
      <c r="D53" s="36" t="s">
        <v>202</v>
      </c>
      <c r="E53" s="37">
        <v>14.99</v>
      </c>
      <c r="F53" s="518" t="s">
        <v>527</v>
      </c>
      <c r="G53" s="519"/>
      <c r="H53" s="208">
        <v>45468</v>
      </c>
    </row>
    <row r="54" spans="1:8" x14ac:dyDescent="0.3">
      <c r="A54" s="531"/>
      <c r="B54" s="531"/>
      <c r="C54" s="517"/>
      <c r="D54" s="36" t="s">
        <v>504</v>
      </c>
      <c r="E54" s="37">
        <v>22.9</v>
      </c>
      <c r="F54" s="518" t="s">
        <v>528</v>
      </c>
      <c r="G54" s="519"/>
      <c r="H54" s="208">
        <v>45468</v>
      </c>
    </row>
    <row r="55" spans="1:8" x14ac:dyDescent="0.3">
      <c r="A55" s="526" t="s">
        <v>520</v>
      </c>
      <c r="B55" s="527"/>
      <c r="C55" s="527"/>
      <c r="D55" s="528"/>
      <c r="E55" s="279">
        <f>(E52+E53+E54)/(COUNTA(E52:E54))</f>
        <v>20.813333333333333</v>
      </c>
      <c r="F55" s="535"/>
      <c r="G55" s="536"/>
      <c r="H55" s="537"/>
    </row>
    <row r="56" spans="1:8" x14ac:dyDescent="0.3">
      <c r="A56" s="529" t="s">
        <v>41</v>
      </c>
      <c r="B56" s="529" t="s">
        <v>629</v>
      </c>
      <c r="C56" s="517" t="s">
        <v>212</v>
      </c>
      <c r="D56" s="36" t="s">
        <v>178</v>
      </c>
      <c r="E56" s="37">
        <v>39.17</v>
      </c>
      <c r="F56" s="519" t="s">
        <v>529</v>
      </c>
      <c r="G56" s="519"/>
      <c r="H56" s="208">
        <v>45468</v>
      </c>
    </row>
    <row r="57" spans="1:8" x14ac:dyDescent="0.3">
      <c r="A57" s="530"/>
      <c r="B57" s="530"/>
      <c r="C57" s="517"/>
      <c r="D57" s="36" t="s">
        <v>125</v>
      </c>
      <c r="E57" s="37">
        <v>35.9</v>
      </c>
      <c r="F57" s="518" t="s">
        <v>530</v>
      </c>
      <c r="G57" s="519"/>
      <c r="H57" s="208">
        <v>45468</v>
      </c>
    </row>
    <row r="58" spans="1:8" x14ac:dyDescent="0.3">
      <c r="A58" s="531"/>
      <c r="B58" s="531"/>
      <c r="C58" s="517"/>
      <c r="D58" s="36" t="s">
        <v>504</v>
      </c>
      <c r="E58" s="37">
        <f>1.9*12</f>
        <v>22.799999999999997</v>
      </c>
      <c r="F58" s="518" t="s">
        <v>577</v>
      </c>
      <c r="G58" s="519"/>
      <c r="H58" s="208">
        <v>45468</v>
      </c>
    </row>
    <row r="59" spans="1:8" x14ac:dyDescent="0.3">
      <c r="A59" s="526" t="s">
        <v>520</v>
      </c>
      <c r="B59" s="527"/>
      <c r="C59" s="527"/>
      <c r="D59" s="528"/>
      <c r="E59" s="279">
        <f>(E56+E57+E58)/(COUNTA(E56:E58))</f>
        <v>32.623333333333328</v>
      </c>
      <c r="F59" s="535"/>
      <c r="G59" s="536"/>
      <c r="H59" s="537"/>
    </row>
    <row r="60" spans="1:8" x14ac:dyDescent="0.3">
      <c r="A60" s="529" t="s">
        <v>42</v>
      </c>
      <c r="B60" s="529" t="s">
        <v>630</v>
      </c>
      <c r="C60" s="517" t="s">
        <v>213</v>
      </c>
      <c r="D60" s="36" t="s">
        <v>178</v>
      </c>
      <c r="E60" s="37">
        <v>55.16</v>
      </c>
      <c r="F60" s="518" t="s">
        <v>531</v>
      </c>
      <c r="G60" s="519"/>
      <c r="H60" s="208">
        <v>45468</v>
      </c>
    </row>
    <row r="61" spans="1:8" x14ac:dyDescent="0.3">
      <c r="A61" s="530"/>
      <c r="B61" s="530"/>
      <c r="C61" s="517"/>
      <c r="D61" s="36" t="s">
        <v>202</v>
      </c>
      <c r="E61" s="37">
        <v>40.15</v>
      </c>
      <c r="F61" s="518" t="s">
        <v>532</v>
      </c>
      <c r="G61" s="519"/>
      <c r="H61" s="208">
        <v>45468</v>
      </c>
    </row>
    <row r="62" spans="1:8" x14ac:dyDescent="0.3">
      <c r="A62" s="531"/>
      <c r="B62" s="531"/>
      <c r="C62" s="517"/>
      <c r="D62" s="36" t="s">
        <v>504</v>
      </c>
      <c r="E62" s="37">
        <v>45.9</v>
      </c>
      <c r="F62" s="518" t="s">
        <v>533</v>
      </c>
      <c r="G62" s="519"/>
      <c r="H62" s="208">
        <v>45468</v>
      </c>
    </row>
    <row r="63" spans="1:8" x14ac:dyDescent="0.3">
      <c r="A63" s="526" t="s">
        <v>520</v>
      </c>
      <c r="B63" s="527"/>
      <c r="C63" s="527"/>
      <c r="D63" s="528"/>
      <c r="E63" s="279">
        <f>(E60+E61+E62)/(COUNTA(E60:E62))</f>
        <v>47.07</v>
      </c>
      <c r="F63" s="535"/>
      <c r="G63" s="536"/>
      <c r="H63" s="537"/>
    </row>
    <row r="64" spans="1:8" x14ac:dyDescent="0.3">
      <c r="A64" s="529" t="s">
        <v>43</v>
      </c>
      <c r="B64" s="529" t="s">
        <v>631</v>
      </c>
      <c r="C64" s="517" t="s">
        <v>535</v>
      </c>
      <c r="D64" s="36" t="s">
        <v>178</v>
      </c>
      <c r="E64" s="37">
        <v>22.4</v>
      </c>
      <c r="F64" s="519" t="s">
        <v>536</v>
      </c>
      <c r="G64" s="519"/>
      <c r="H64" s="208">
        <v>45468</v>
      </c>
    </row>
    <row r="65" spans="1:8" x14ac:dyDescent="0.3">
      <c r="A65" s="530"/>
      <c r="B65" s="530"/>
      <c r="C65" s="517"/>
      <c r="D65" s="36" t="s">
        <v>202</v>
      </c>
      <c r="E65" s="37">
        <v>23.27</v>
      </c>
      <c r="F65" s="518" t="s">
        <v>537</v>
      </c>
      <c r="G65" s="519"/>
      <c r="H65" s="208">
        <v>45468</v>
      </c>
    </row>
    <row r="66" spans="1:8" x14ac:dyDescent="0.3">
      <c r="A66" s="531"/>
      <c r="B66" s="531"/>
      <c r="C66" s="517"/>
      <c r="D66" s="36" t="s">
        <v>125</v>
      </c>
      <c r="E66" s="37">
        <v>37.26</v>
      </c>
      <c r="F66" s="518" t="s">
        <v>578</v>
      </c>
      <c r="G66" s="519"/>
      <c r="H66" s="208">
        <v>45468</v>
      </c>
    </row>
    <row r="67" spans="1:8" x14ac:dyDescent="0.3">
      <c r="A67" s="526" t="s">
        <v>520</v>
      </c>
      <c r="B67" s="527"/>
      <c r="C67" s="527"/>
      <c r="D67" s="528"/>
      <c r="E67" s="279">
        <f>(E64+E65+E66)/(COUNTA(E64:E66))</f>
        <v>27.643333333333334</v>
      </c>
      <c r="F67" s="535"/>
      <c r="G67" s="536"/>
      <c r="H67" s="537"/>
    </row>
    <row r="68" spans="1:8" x14ac:dyDescent="0.3">
      <c r="A68" s="529" t="s">
        <v>44</v>
      </c>
      <c r="B68" s="529" t="s">
        <v>632</v>
      </c>
      <c r="C68" s="517" t="s">
        <v>214</v>
      </c>
      <c r="D68" s="36" t="s">
        <v>178</v>
      </c>
      <c r="E68" s="37">
        <v>31.81</v>
      </c>
      <c r="F68" s="519" t="s">
        <v>538</v>
      </c>
      <c r="G68" s="519"/>
      <c r="H68" s="208">
        <v>45468</v>
      </c>
    </row>
    <row r="69" spans="1:8" x14ac:dyDescent="0.3">
      <c r="A69" s="530"/>
      <c r="B69" s="530"/>
      <c r="C69" s="517"/>
      <c r="D69" s="36" t="s">
        <v>202</v>
      </c>
      <c r="E69" s="37">
        <v>41.53</v>
      </c>
      <c r="F69" s="518" t="s">
        <v>539</v>
      </c>
      <c r="G69" s="519"/>
      <c r="H69" s="208">
        <v>45468</v>
      </c>
    </row>
    <row r="70" spans="1:8" x14ac:dyDescent="0.3">
      <c r="A70" s="531"/>
      <c r="B70" s="531"/>
      <c r="C70" s="517"/>
      <c r="D70" s="36" t="s">
        <v>125</v>
      </c>
      <c r="E70" s="37">
        <v>28.31</v>
      </c>
      <c r="F70" s="518" t="s">
        <v>540</v>
      </c>
      <c r="G70" s="519"/>
      <c r="H70" s="208">
        <v>45468</v>
      </c>
    </row>
    <row r="71" spans="1:8" x14ac:dyDescent="0.3">
      <c r="A71" s="526" t="s">
        <v>520</v>
      </c>
      <c r="B71" s="527"/>
      <c r="C71" s="527"/>
      <c r="D71" s="528"/>
      <c r="E71" s="279">
        <f>(E68+E69+E70)/(COUNTA(E68:E70))</f>
        <v>33.883333333333333</v>
      </c>
      <c r="F71" s="535"/>
      <c r="G71" s="536"/>
      <c r="H71" s="537"/>
    </row>
    <row r="72" spans="1:8" x14ac:dyDescent="0.3">
      <c r="A72" s="529" t="s">
        <v>45</v>
      </c>
      <c r="B72" s="529" t="s">
        <v>633</v>
      </c>
      <c r="C72" s="517" t="s">
        <v>215</v>
      </c>
      <c r="D72" s="36" t="s">
        <v>178</v>
      </c>
      <c r="E72" s="37">
        <v>20.66</v>
      </c>
      <c r="F72" s="519" t="s">
        <v>541</v>
      </c>
      <c r="G72" s="519"/>
      <c r="H72" s="208">
        <v>45468</v>
      </c>
    </row>
    <row r="73" spans="1:8" x14ac:dyDescent="0.3">
      <c r="A73" s="530"/>
      <c r="B73" s="530"/>
      <c r="C73" s="517"/>
      <c r="D73" s="36" t="s">
        <v>202</v>
      </c>
      <c r="E73" s="37">
        <v>14.47</v>
      </c>
      <c r="F73" s="518" t="s">
        <v>542</v>
      </c>
      <c r="G73" s="519"/>
      <c r="H73" s="208">
        <v>45468</v>
      </c>
    </row>
    <row r="74" spans="1:8" x14ac:dyDescent="0.3">
      <c r="A74" s="531"/>
      <c r="B74" s="531"/>
      <c r="C74" s="517"/>
      <c r="D74" s="36" t="s">
        <v>125</v>
      </c>
      <c r="E74" s="37">
        <v>20.149999999999999</v>
      </c>
      <c r="F74" s="518" t="s">
        <v>543</v>
      </c>
      <c r="G74" s="519"/>
      <c r="H74" s="208">
        <v>45468</v>
      </c>
    </row>
    <row r="75" spans="1:8" x14ac:dyDescent="0.3">
      <c r="A75" s="526" t="s">
        <v>520</v>
      </c>
      <c r="B75" s="527"/>
      <c r="C75" s="527"/>
      <c r="D75" s="528"/>
      <c r="E75" s="279">
        <f>(E72+E73+E74)/(COUNTA(E72:E74))</f>
        <v>18.426666666666666</v>
      </c>
      <c r="F75" s="535"/>
      <c r="G75" s="536"/>
      <c r="H75" s="537"/>
    </row>
    <row r="76" spans="1:8" x14ac:dyDescent="0.3">
      <c r="A76" s="529" t="s">
        <v>205</v>
      </c>
      <c r="B76" s="529" t="s">
        <v>634</v>
      </c>
      <c r="C76" s="517" t="s">
        <v>216</v>
      </c>
      <c r="D76" s="36" t="s">
        <v>178</v>
      </c>
      <c r="E76" s="37">
        <v>8.4</v>
      </c>
      <c r="F76" s="519" t="s">
        <v>544</v>
      </c>
      <c r="G76" s="519"/>
      <c r="H76" s="208">
        <v>45468</v>
      </c>
    </row>
    <row r="77" spans="1:8" x14ac:dyDescent="0.3">
      <c r="A77" s="530"/>
      <c r="B77" s="530"/>
      <c r="C77" s="517"/>
      <c r="D77" s="36" t="s">
        <v>504</v>
      </c>
      <c r="E77" s="37">
        <v>7.4</v>
      </c>
      <c r="F77" s="518" t="s">
        <v>545</v>
      </c>
      <c r="G77" s="519"/>
      <c r="H77" s="208">
        <v>45468</v>
      </c>
    </row>
    <row r="78" spans="1:8" x14ac:dyDescent="0.3">
      <c r="A78" s="531"/>
      <c r="B78" s="531"/>
      <c r="C78" s="517"/>
      <c r="D78" s="36" t="s">
        <v>125</v>
      </c>
      <c r="E78" s="37">
        <v>13.2</v>
      </c>
      <c r="F78" s="518" t="s">
        <v>546</v>
      </c>
      <c r="G78" s="519"/>
      <c r="H78" s="208">
        <v>45468</v>
      </c>
    </row>
    <row r="79" spans="1:8" x14ac:dyDescent="0.3">
      <c r="A79" s="526" t="s">
        <v>520</v>
      </c>
      <c r="B79" s="527"/>
      <c r="C79" s="527"/>
      <c r="D79" s="528"/>
      <c r="E79" s="279">
        <f>(E76+E77+E78)/(COUNTA(E76:E78))</f>
        <v>9.6666666666666661</v>
      </c>
      <c r="F79" s="535"/>
      <c r="G79" s="536"/>
      <c r="H79" s="537"/>
    </row>
    <row r="80" spans="1:8" x14ac:dyDescent="0.3">
      <c r="A80" s="529" t="s">
        <v>206</v>
      </c>
      <c r="B80" s="529" t="s">
        <v>635</v>
      </c>
      <c r="C80" s="517" t="s">
        <v>217</v>
      </c>
      <c r="D80" s="36" t="s">
        <v>178</v>
      </c>
      <c r="E80" s="37">
        <v>20.64</v>
      </c>
      <c r="F80" s="519" t="s">
        <v>547</v>
      </c>
      <c r="G80" s="519"/>
      <c r="H80" s="208">
        <v>45468</v>
      </c>
    </row>
    <row r="81" spans="1:8" x14ac:dyDescent="0.3">
      <c r="A81" s="530"/>
      <c r="B81" s="530"/>
      <c r="C81" s="517"/>
      <c r="D81" s="36" t="s">
        <v>202</v>
      </c>
      <c r="E81" s="37">
        <v>13.1</v>
      </c>
      <c r="F81" s="518" t="s">
        <v>548</v>
      </c>
      <c r="G81" s="519"/>
      <c r="H81" s="208">
        <v>45468</v>
      </c>
    </row>
    <row r="82" spans="1:8" x14ac:dyDescent="0.3">
      <c r="A82" s="531"/>
      <c r="B82" s="531"/>
      <c r="C82" s="517"/>
      <c r="D82" s="36" t="s">
        <v>504</v>
      </c>
      <c r="E82" s="37">
        <v>20</v>
      </c>
      <c r="F82" s="518" t="s">
        <v>549</v>
      </c>
      <c r="G82" s="519"/>
      <c r="H82" s="208">
        <v>45468</v>
      </c>
    </row>
    <row r="83" spans="1:8" x14ac:dyDescent="0.3">
      <c r="A83" s="526" t="s">
        <v>520</v>
      </c>
      <c r="B83" s="527"/>
      <c r="C83" s="527"/>
      <c r="D83" s="528"/>
      <c r="E83" s="279">
        <f>(E80+E81+E82)/(COUNTA(E80:E82))</f>
        <v>17.913333333333334</v>
      </c>
      <c r="F83" s="535"/>
      <c r="G83" s="536"/>
      <c r="H83" s="537"/>
    </row>
    <row r="84" spans="1:8" x14ac:dyDescent="0.3">
      <c r="A84" s="529" t="s">
        <v>207</v>
      </c>
      <c r="B84" s="529" t="s">
        <v>636</v>
      </c>
      <c r="C84" s="517" t="s">
        <v>218</v>
      </c>
      <c r="D84" s="36" t="s">
        <v>178</v>
      </c>
      <c r="E84" s="37">
        <v>13.28</v>
      </c>
      <c r="F84" s="519" t="s">
        <v>550</v>
      </c>
      <c r="G84" s="519"/>
      <c r="H84" s="208">
        <v>45468</v>
      </c>
    </row>
    <row r="85" spans="1:8" x14ac:dyDescent="0.3">
      <c r="A85" s="530"/>
      <c r="B85" s="530"/>
      <c r="C85" s="517"/>
      <c r="D85" s="36" t="s">
        <v>202</v>
      </c>
      <c r="E85" s="37">
        <v>7.79</v>
      </c>
      <c r="F85" s="518" t="s">
        <v>551</v>
      </c>
      <c r="G85" s="519"/>
      <c r="H85" s="208">
        <v>45468</v>
      </c>
    </row>
    <row r="86" spans="1:8" x14ac:dyDescent="0.3">
      <c r="A86" s="531"/>
      <c r="B86" s="531"/>
      <c r="C86" s="517"/>
      <c r="D86" s="36" t="s">
        <v>504</v>
      </c>
      <c r="E86" s="37">
        <v>9.5</v>
      </c>
      <c r="F86" s="518" t="s">
        <v>552</v>
      </c>
      <c r="G86" s="519"/>
      <c r="H86" s="208">
        <v>45468</v>
      </c>
    </row>
    <row r="87" spans="1:8" x14ac:dyDescent="0.3">
      <c r="A87" s="526" t="s">
        <v>520</v>
      </c>
      <c r="B87" s="527"/>
      <c r="C87" s="527"/>
      <c r="D87" s="528"/>
      <c r="E87" s="279">
        <f>(E84+E85+E86)/(COUNTA(E84:E86))</f>
        <v>10.19</v>
      </c>
      <c r="F87" s="535"/>
      <c r="G87" s="536"/>
      <c r="H87" s="537"/>
    </row>
    <row r="88" spans="1:8" x14ac:dyDescent="0.3">
      <c r="A88" s="529" t="s">
        <v>208</v>
      </c>
      <c r="B88" s="529" t="s">
        <v>637</v>
      </c>
      <c r="C88" s="517" t="s">
        <v>219</v>
      </c>
      <c r="D88" s="36" t="s">
        <v>178</v>
      </c>
      <c r="E88" s="37">
        <v>55</v>
      </c>
      <c r="F88" s="519" t="s">
        <v>553</v>
      </c>
      <c r="G88" s="519"/>
      <c r="H88" s="208">
        <v>45468</v>
      </c>
    </row>
    <row r="89" spans="1:8" x14ac:dyDescent="0.3">
      <c r="A89" s="530"/>
      <c r="B89" s="530"/>
      <c r="C89" s="517"/>
      <c r="D89" s="36" t="s">
        <v>202</v>
      </c>
      <c r="E89" s="37">
        <v>51.86</v>
      </c>
      <c r="F89" s="518" t="s">
        <v>554</v>
      </c>
      <c r="G89" s="519"/>
      <c r="H89" s="208">
        <v>45468</v>
      </c>
    </row>
    <row r="90" spans="1:8" x14ac:dyDescent="0.3">
      <c r="A90" s="531"/>
      <c r="B90" s="531"/>
      <c r="C90" s="517"/>
      <c r="D90" s="36" t="s">
        <v>125</v>
      </c>
      <c r="E90" s="37">
        <v>59.99</v>
      </c>
      <c r="F90" s="518" t="s">
        <v>576</v>
      </c>
      <c r="G90" s="519"/>
      <c r="H90" s="208">
        <v>45468</v>
      </c>
    </row>
    <row r="91" spans="1:8" x14ac:dyDescent="0.3">
      <c r="A91" s="526" t="s">
        <v>520</v>
      </c>
      <c r="B91" s="527"/>
      <c r="C91" s="527"/>
      <c r="D91" s="528"/>
      <c r="E91" s="279">
        <f>(E88+E89+E90)/(COUNTA(E88:E90))</f>
        <v>55.616666666666667</v>
      </c>
      <c r="F91" s="535"/>
      <c r="G91" s="536"/>
      <c r="H91" s="537"/>
    </row>
    <row r="92" spans="1:8" x14ac:dyDescent="0.3">
      <c r="A92" s="529" t="s">
        <v>209</v>
      </c>
      <c r="B92" s="529" t="s">
        <v>638</v>
      </c>
      <c r="C92" s="517" t="s">
        <v>220</v>
      </c>
      <c r="D92" s="36" t="s">
        <v>178</v>
      </c>
      <c r="E92" s="37">
        <v>71.3</v>
      </c>
      <c r="F92" s="519" t="s">
        <v>555</v>
      </c>
      <c r="G92" s="519"/>
      <c r="H92" s="208">
        <v>45468</v>
      </c>
    </row>
    <row r="93" spans="1:8" x14ac:dyDescent="0.3">
      <c r="A93" s="530"/>
      <c r="B93" s="530"/>
      <c r="C93" s="517"/>
      <c r="D93" s="36" t="s">
        <v>202</v>
      </c>
      <c r="E93" s="37">
        <v>63.22</v>
      </c>
      <c r="F93" s="518" t="s">
        <v>556</v>
      </c>
      <c r="G93" s="519"/>
      <c r="H93" s="208">
        <v>45468</v>
      </c>
    </row>
    <row r="94" spans="1:8" x14ac:dyDescent="0.3">
      <c r="A94" s="531"/>
      <c r="B94" s="531"/>
      <c r="C94" s="517"/>
      <c r="D94" s="36" t="s">
        <v>504</v>
      </c>
      <c r="E94" s="37">
        <v>71.3</v>
      </c>
      <c r="F94" s="518" t="s">
        <v>557</v>
      </c>
      <c r="G94" s="519"/>
      <c r="H94" s="208">
        <v>45468</v>
      </c>
    </row>
    <row r="95" spans="1:8" x14ac:dyDescent="0.3">
      <c r="A95" s="526" t="s">
        <v>520</v>
      </c>
      <c r="B95" s="527"/>
      <c r="C95" s="527"/>
      <c r="D95" s="528"/>
      <c r="E95" s="279">
        <f>(E92+E93+E94)/(COUNTA(E92:E94))</f>
        <v>68.606666666666669</v>
      </c>
      <c r="F95" s="535"/>
      <c r="G95" s="536"/>
      <c r="H95" s="537"/>
    </row>
    <row r="96" spans="1:8" x14ac:dyDescent="0.3">
      <c r="A96" s="29"/>
      <c r="B96" s="29"/>
    </row>
    <row r="97" spans="1:2" x14ac:dyDescent="0.3">
      <c r="A97" s="29"/>
      <c r="B97" s="29"/>
    </row>
    <row r="98" spans="1:2" x14ac:dyDescent="0.3">
      <c r="A98" s="29"/>
      <c r="B98" s="29"/>
    </row>
    <row r="99" spans="1:2" x14ac:dyDescent="0.3">
      <c r="A99" s="29"/>
      <c r="B99" s="29"/>
    </row>
    <row r="100" spans="1:2" x14ac:dyDescent="0.3">
      <c r="A100" s="29"/>
      <c r="B100" s="29"/>
    </row>
    <row r="101" spans="1:2" x14ac:dyDescent="0.3">
      <c r="A101" s="29"/>
      <c r="B101" s="29"/>
    </row>
    <row r="102" spans="1:2" x14ac:dyDescent="0.3">
      <c r="A102" s="29"/>
      <c r="B102" s="29"/>
    </row>
    <row r="103" spans="1:2" x14ac:dyDescent="0.3">
      <c r="A103" s="29"/>
      <c r="B103" s="29"/>
    </row>
    <row r="104" spans="1:2" x14ac:dyDescent="0.3">
      <c r="A104" s="29"/>
      <c r="B104" s="29"/>
    </row>
    <row r="105" spans="1:2" x14ac:dyDescent="0.3">
      <c r="A105" s="29"/>
      <c r="B105" s="29"/>
    </row>
    <row r="106" spans="1:2" x14ac:dyDescent="0.3">
      <c r="A106" s="29"/>
      <c r="B106" s="29"/>
    </row>
    <row r="107" spans="1:2" x14ac:dyDescent="0.3">
      <c r="A107" s="29"/>
      <c r="B107" s="29"/>
    </row>
    <row r="108" spans="1:2" x14ac:dyDescent="0.3">
      <c r="A108" s="29"/>
      <c r="B108" s="29"/>
    </row>
    <row r="109" spans="1:2" x14ac:dyDescent="0.3">
      <c r="A109" s="29"/>
      <c r="B109" s="29"/>
    </row>
    <row r="110" spans="1:2" x14ac:dyDescent="0.3">
      <c r="A110" s="29"/>
      <c r="B110" s="29"/>
    </row>
  </sheetData>
  <mergeCells count="147">
    <mergeCell ref="A10:A11"/>
    <mergeCell ref="C6:C7"/>
    <mergeCell ref="I5:L5"/>
    <mergeCell ref="H6:H7"/>
    <mergeCell ref="I6:J6"/>
    <mergeCell ref="K6:L6"/>
    <mergeCell ref="D6:G6"/>
    <mergeCell ref="A6:A7"/>
    <mergeCell ref="A1:A5"/>
    <mergeCell ref="B6:B7"/>
    <mergeCell ref="A36:A42"/>
    <mergeCell ref="F32:G32"/>
    <mergeCell ref="F33:G33"/>
    <mergeCell ref="F34:G34"/>
    <mergeCell ref="C32:C34"/>
    <mergeCell ref="A32:A34"/>
    <mergeCell ref="A26:H26"/>
    <mergeCell ref="F27:G27"/>
    <mergeCell ref="F28:G28"/>
    <mergeCell ref="F29:G29"/>
    <mergeCell ref="F30:G30"/>
    <mergeCell ref="C28:C30"/>
    <mergeCell ref="A28:A30"/>
    <mergeCell ref="B28:B30"/>
    <mergeCell ref="B32:B34"/>
    <mergeCell ref="B36:B38"/>
    <mergeCell ref="B40:B42"/>
    <mergeCell ref="A44:A46"/>
    <mergeCell ref="C44:C46"/>
    <mergeCell ref="C52:C54"/>
    <mergeCell ref="A52:A54"/>
    <mergeCell ref="F44:G44"/>
    <mergeCell ref="F45:G45"/>
    <mergeCell ref="F46:G46"/>
    <mergeCell ref="F48:G48"/>
    <mergeCell ref="B44:B46"/>
    <mergeCell ref="B48:B50"/>
    <mergeCell ref="A43:D43"/>
    <mergeCell ref="F43:H43"/>
    <mergeCell ref="A47:D47"/>
    <mergeCell ref="F47:H47"/>
    <mergeCell ref="A51:D51"/>
    <mergeCell ref="F51:H51"/>
    <mergeCell ref="C48:C50"/>
    <mergeCell ref="A48:A50"/>
    <mergeCell ref="A31:D31"/>
    <mergeCell ref="F31:H31"/>
    <mergeCell ref="A35:D35"/>
    <mergeCell ref="F35:H35"/>
    <mergeCell ref="F39:H39"/>
    <mergeCell ref="C39:D39"/>
    <mergeCell ref="F49:G49"/>
    <mergeCell ref="F50:G50"/>
    <mergeCell ref="C36:C38"/>
    <mergeCell ref="C40:C42"/>
    <mergeCell ref="F36:G36"/>
    <mergeCell ref="F37:G37"/>
    <mergeCell ref="F38:G38"/>
    <mergeCell ref="F40:G40"/>
    <mergeCell ref="F41:G41"/>
    <mergeCell ref="F42:G42"/>
    <mergeCell ref="A55:D55"/>
    <mergeCell ref="F55:H55"/>
    <mergeCell ref="F53:G53"/>
    <mergeCell ref="F54:G54"/>
    <mergeCell ref="A56:A58"/>
    <mergeCell ref="C56:C58"/>
    <mergeCell ref="F56:G56"/>
    <mergeCell ref="F57:G57"/>
    <mergeCell ref="F58:G58"/>
    <mergeCell ref="B52:B54"/>
    <mergeCell ref="B56:B58"/>
    <mergeCell ref="F52:G52"/>
    <mergeCell ref="A63:D63"/>
    <mergeCell ref="F63:H63"/>
    <mergeCell ref="A64:A66"/>
    <mergeCell ref="C64:C66"/>
    <mergeCell ref="F64:G64"/>
    <mergeCell ref="F65:G65"/>
    <mergeCell ref="F66:G66"/>
    <mergeCell ref="A59:D59"/>
    <mergeCell ref="F59:H59"/>
    <mergeCell ref="A60:A62"/>
    <mergeCell ref="C60:C62"/>
    <mergeCell ref="F60:G60"/>
    <mergeCell ref="F61:G61"/>
    <mergeCell ref="F62:G62"/>
    <mergeCell ref="B60:B62"/>
    <mergeCell ref="B64:B66"/>
    <mergeCell ref="A71:D71"/>
    <mergeCell ref="F71:H71"/>
    <mergeCell ref="A72:A74"/>
    <mergeCell ref="C72:C74"/>
    <mergeCell ref="F72:G72"/>
    <mergeCell ref="F73:G73"/>
    <mergeCell ref="F74:G74"/>
    <mergeCell ref="A67:D67"/>
    <mergeCell ref="F67:H67"/>
    <mergeCell ref="A68:A70"/>
    <mergeCell ref="C68:C70"/>
    <mergeCell ref="F68:G68"/>
    <mergeCell ref="F69:G69"/>
    <mergeCell ref="F70:G70"/>
    <mergeCell ref="B68:B70"/>
    <mergeCell ref="B72:B74"/>
    <mergeCell ref="A79:D79"/>
    <mergeCell ref="F79:H79"/>
    <mergeCell ref="A80:A82"/>
    <mergeCell ref="C80:C82"/>
    <mergeCell ref="F80:G80"/>
    <mergeCell ref="F81:G81"/>
    <mergeCell ref="F82:G82"/>
    <mergeCell ref="A75:D75"/>
    <mergeCell ref="F75:H75"/>
    <mergeCell ref="A76:A78"/>
    <mergeCell ref="C76:C78"/>
    <mergeCell ref="F76:G76"/>
    <mergeCell ref="F77:G77"/>
    <mergeCell ref="F78:G78"/>
    <mergeCell ref="B76:B78"/>
    <mergeCell ref="B80:B82"/>
    <mergeCell ref="A87:D87"/>
    <mergeCell ref="F87:H87"/>
    <mergeCell ref="A88:A90"/>
    <mergeCell ref="C88:C90"/>
    <mergeCell ref="F88:G88"/>
    <mergeCell ref="F89:G89"/>
    <mergeCell ref="F90:G90"/>
    <mergeCell ref="A83:D83"/>
    <mergeCell ref="F83:H83"/>
    <mergeCell ref="A84:A86"/>
    <mergeCell ref="C84:C86"/>
    <mergeCell ref="F84:G84"/>
    <mergeCell ref="F85:G85"/>
    <mergeCell ref="F86:G86"/>
    <mergeCell ref="B84:B86"/>
    <mergeCell ref="B88:B90"/>
    <mergeCell ref="A95:D95"/>
    <mergeCell ref="F95:H95"/>
    <mergeCell ref="A91:D91"/>
    <mergeCell ref="F91:H91"/>
    <mergeCell ref="A92:A94"/>
    <mergeCell ref="C92:C94"/>
    <mergeCell ref="F92:G92"/>
    <mergeCell ref="F93:G93"/>
    <mergeCell ref="F94:G94"/>
    <mergeCell ref="B92:B94"/>
  </mergeCells>
  <phoneticPr fontId="29" type="noConversion"/>
  <hyperlinks>
    <hyperlink ref="F29" r:id="rId1" xr:uid="{4DFD45CB-BE25-4554-AB09-961B4BC54124}"/>
    <hyperlink ref="F30" r:id="rId2" location="searchVariation=MLB21791972&amp;position=22&amp;search_layout=grid&amp;type=product&amp;tracking_id=a096bdce-1d8f-4d05-b568-cfca82f72e50" xr:uid="{29A75C6D-779B-438C-B26B-FB42CC213479}"/>
    <hyperlink ref="F28" r:id="rId3" xr:uid="{57EA1F7A-49A7-4D60-B2AF-F384FAA22688}"/>
    <hyperlink ref="F33" r:id="rId4" xr:uid="{270E7F50-CE5A-42D3-B1EC-A0B79B3B6C84}"/>
    <hyperlink ref="F34" r:id="rId5" xr:uid="{87C62040-344A-4386-8C14-761BF7398816}"/>
    <hyperlink ref="F37" r:id="rId6" xr:uid="{80734F85-88C6-4035-B32D-258D2156C3A9}"/>
    <hyperlink ref="F41" r:id="rId7" xr:uid="{5727D06D-304C-4774-9855-E2A000D35006}"/>
    <hyperlink ref="F38" r:id="rId8" xr:uid="{4C1CE702-4E58-41E2-89E3-E89513B59C85}"/>
    <hyperlink ref="F42" r:id="rId9" xr:uid="{4C829582-9A9C-43D7-A7D0-06AADC0B1E33}"/>
    <hyperlink ref="F45" r:id="rId10" location="searchVariation=MLB24005552&amp;position=35&amp;search_layout=grid&amp;type=product&amp;tracking_id=a1126f1d-5749-4269-b2f8-32f772262d33" xr:uid="{B6C73AE6-D791-47AB-8B36-29524181DAD7}"/>
    <hyperlink ref="F46" r:id="rId11" xr:uid="{F25F753D-B529-4866-B09D-21FF74208586}"/>
    <hyperlink ref="F49" r:id="rId12" xr:uid="{53FDEF47-B87D-42B2-B11C-4F0F787DD3B1}"/>
    <hyperlink ref="F50" r:id="rId13" xr:uid="{2FCF3D33-CBD0-41C0-945C-5B0A167CAFA4}"/>
    <hyperlink ref="F53" r:id="rId14" xr:uid="{EACFD2F8-61A4-4D6C-9A94-9BAECB9549FA}"/>
    <hyperlink ref="F54" r:id="rId15" xr:uid="{C2053DC8-7BFF-4A4D-B309-5FAD0F9771E8}"/>
    <hyperlink ref="F57" r:id="rId16" location="searchVariation=MLB28245854&amp;position=17&amp;search_layout=grid&amp;type=product&amp;tracking_id=89af34b3-f28a-4b2d-8df7-e7871d0b25a7" xr:uid="{68E83ABF-42E6-46A6-A7A3-D1C3B0BE49BC}"/>
    <hyperlink ref="F60" r:id="rId17" display="https://www.amazon.com.br/Scrity-SKN334-Envelope-Multicolor-Pacote/dp/B077J4KWB2/ref=sr_1_5?crid=2HNUJCKSKJLGB&amp;dib=eyJ2IjoiMSJ9.HLCgtK73YTb25m8fc6pCXZ3hBEZ5rE8-Ww6IidR0Ej2fVOXngKQZr9UpyksrFLBhvtzIxGiYdblhZtc7h-SptzofYSXbnqrEmNSVqTt91xH75xfxEng1K8EIa8uahJ1ZShsUN4VWWUOCJI47qqx4x34bYgAtqSfi4VAN51iWo0W2V0EDCi_vwYzfjVQq7IqGwWnrAUfKI4QIMndGPFYa2jKuHeBYsaLvw3O55RawsNbsCRMa6Y7uKuKQw8Q50aERVoWC-MHsPToFXwejjYi2ov5lW20JF1ayI21Ec_bKxUc.mNAh1d378EcPhNmOH_uG2xXTIpr8Fyr-3nnZrJW5XzA&amp;dib_tag=se&amp;keywords=envelope+a4&amp;qid=1719325239&amp;sprefix=envelop%2Caps%2C219&amp;sr=8-5" xr:uid="{38F275E1-544A-41FC-9272-51A63FAF5330}"/>
    <hyperlink ref="F61" r:id="rId18" xr:uid="{548A4870-1141-4717-8BEC-ED4D956159DE}"/>
    <hyperlink ref="F62" r:id="rId19" xr:uid="{7E8F8B5F-FE43-4209-A197-696BADC12EDB}"/>
    <hyperlink ref="F65" r:id="rId20" xr:uid="{556FFAEB-D46A-4CD1-B3F6-D641F2056EC2}"/>
    <hyperlink ref="F69" r:id="rId21" xr:uid="{65C79D46-FF41-4D36-81C6-FD032BD01663}"/>
    <hyperlink ref="F70" r:id="rId22" location="position=10&amp;search_layout=grid&amp;type=item&amp;tracking_id=c56390a0-a03d-4331-8dbd-c53c79e6406d" xr:uid="{DE5EB43A-C5B0-46E1-B9B2-3A4568D92D58}"/>
    <hyperlink ref="F73" r:id="rId23" xr:uid="{57E77A24-A1A3-4CEB-A909-BA25D34B5219}"/>
    <hyperlink ref="F74" r:id="rId24" location="is_advertising=true&amp;searchVariation=MLB24278722&amp;position=2&amp;search_layout=grid&amp;type=pad&amp;tracking_id=8669cb3a-f1b9-4df2-9261-499f9c2fc070&amp;is_advertising=true&amp;ad_domain=VQCATCORE_LST&amp;ad_position=2&amp;ad_click_id=MzVmNmE2MTctODAxZS00YWEzLThkNDQtM2VhZmM1NWNmNGU1" display="https://www.mercadolivre.com.br/lapiseira-tecnica-2b-07-jocar-com-tubo-de-grafite/p/MLB24278722?pdp_filters=item_id:MLB3450487969#is_advertising=true&amp;searchVariation=MLB24278722&amp;position=2&amp;search_layout=grid&amp;type=pad&amp;tracking_id=8669cb3a-f1b9-4df2-9261-499f9c2fc070&amp;is_advertising=true&amp;ad_domain=VQCATCORE_LST&amp;ad_position=2&amp;ad_click_id=MzVmNmE2MTctODAxZS00YWEzLThkNDQtM2VhZmM1NWNmNGU1" xr:uid="{D2D4B0A9-9DB8-4B0F-8BDE-657126F39E6D}"/>
    <hyperlink ref="F77" r:id="rId25" xr:uid="{5E5EB32F-F16E-433C-9A24-292B8D5197AB}"/>
    <hyperlink ref="F78" r:id="rId26" location="is_advertising=true&amp;searchVariation=MLB25845222&amp;position=1&amp;search_layout=grid&amp;type=pad&amp;tracking_id=41dda93a-1086-4676-8c20-9cf1689ebcd2&amp;is_advertising=true&amp;ad_domain=VQCATCORE_LST&amp;ad_position=1&amp;ad_click_id=YWFiODY1YWMtOTI5Mi00MjZhLTkzZjAtNzZjYmIxZTVlNzA5" display="https://www.mercadolivre.com.br/caneta-permanente-pilot-cd-dvd-plastico-acrilico-vinil-vidro-cor-preto/p/MLB25845222?pdp_filters=item_id:MLB3650700929#is_advertising=true&amp;searchVariation=MLB25845222&amp;position=1&amp;search_layout=grid&amp;type=pad&amp;tracking_id=41dda93a-1086-4676-8c20-9cf1689ebcd2&amp;is_advertising=true&amp;ad_domain=VQCATCORE_LST&amp;ad_position=1&amp;ad_click_id=YWFiODY1YWMtOTI5Mi00MjZhLTkzZjAtNzZjYmIxZTVlNzA5" xr:uid="{A6FC773F-8D30-45BC-A0DD-9002681D1E4A}"/>
    <hyperlink ref="F81" r:id="rId27" xr:uid="{D0721EB2-F609-4695-86B0-713269C5334B}"/>
    <hyperlink ref="F82" r:id="rId28" xr:uid="{2EB36E42-C733-410A-9E09-E47DF28B2928}"/>
    <hyperlink ref="F85" r:id="rId29" xr:uid="{D2251D37-E138-448E-BF9F-500F334F4681}"/>
    <hyperlink ref="F86" r:id="rId30" xr:uid="{F8B5892D-B6F2-45E7-B79C-893C5F75A863}"/>
    <hyperlink ref="F89" r:id="rId31" xr:uid="{BF2D2E03-3B0C-45E7-B049-7FE3F5475E29}"/>
    <hyperlink ref="F93" r:id="rId32" xr:uid="{9D0373B0-95FE-4452-9D00-64BF766D55C3}"/>
    <hyperlink ref="F94" r:id="rId33" xr:uid="{6B06F8D8-508A-4492-AF46-DFA3C444A6C2}"/>
    <hyperlink ref="F90" r:id="rId34" location="position=13&amp;search_layout=stack&amp;type=item&amp;tracking_id=4b12a412-aa89-498d-96b4-2d0c5a60ac15" xr:uid="{225C4AEF-31BB-492D-9A81-53D10D7F1CA7}"/>
    <hyperlink ref="F58" r:id="rId35" xr:uid="{0419C90C-AF01-4B45-8D67-B9BE0D0DB2FB}"/>
    <hyperlink ref="F66" r:id="rId36" location="position=23&amp;search_layout=grid&amp;type=item&amp;tracking_id=5101acf8-d733-4aaa-84d7-b64b4d39b996" xr:uid="{97D788F2-67F3-467D-92E2-04EFC46E44E1}"/>
  </hyperlinks>
  <pageMargins left="0.51181102362204722" right="0.51181102362204722" top="0.78740157480314965" bottom="0.91729166666666662" header="0.31496062992125984" footer="0.31496062992125984"/>
  <pageSetup paperSize="9" scale="74" fitToHeight="0" orientation="portrait" r:id="rId37"/>
  <headerFooter>
    <oddFooter>&amp;RPrefeitura Municipal de Colatina
Travessa Avelino Guerra, 111, Sagrado Coração de Jesus
Telefone: (27) 3177-7000 | https://colatina.es.gov.br/</oddFooter>
  </headerFooter>
  <rowBreaks count="1" manualBreakCount="1">
    <brk id="63" max="6" man="1"/>
  </rowBreaks>
  <drawing r:id="rId38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P35"/>
  <sheetViews>
    <sheetView showZeros="0" view="pageBreakPreview" zoomScaleNormal="100" zoomScaleSheetLayoutView="100" workbookViewId="0">
      <selection activeCell="E4" sqref="E4"/>
    </sheetView>
  </sheetViews>
  <sheetFormatPr defaultColWidth="8.88671875" defaultRowHeight="15.6" x14ac:dyDescent="0.3"/>
  <cols>
    <col min="1" max="1" width="5.109375" style="30" bestFit="1" customWidth="1"/>
    <col min="2" max="2" width="8.33203125" style="30" bestFit="1" customWidth="1"/>
    <col min="3" max="3" width="39.6640625" style="30" bestFit="1" customWidth="1"/>
    <col min="4" max="4" width="13.33203125" style="30" bestFit="1" customWidth="1"/>
    <col min="5" max="5" width="10.5546875" style="34" bestFit="1" customWidth="1"/>
    <col min="6" max="6" width="10.5546875" style="30" bestFit="1" customWidth="1"/>
    <col min="7" max="8" width="9.5546875" style="30" bestFit="1" customWidth="1"/>
    <col min="9" max="9" width="10.5546875" style="30" bestFit="1" customWidth="1"/>
    <col min="10" max="10" width="11.109375" style="30" bestFit="1" customWidth="1"/>
    <col min="11" max="11" width="10.5546875" style="30" customWidth="1"/>
    <col min="12" max="12" width="13.6640625" style="30" bestFit="1" customWidth="1"/>
    <col min="13" max="13" width="8.88671875" style="30"/>
    <col min="14" max="14" width="13.33203125" style="30" bestFit="1" customWidth="1"/>
    <col min="15" max="15" width="8.88671875" style="30"/>
    <col min="16" max="16" width="13.33203125" style="30" bestFit="1" customWidth="1"/>
    <col min="17" max="16384" width="8.88671875" style="30"/>
  </cols>
  <sheetData>
    <row r="1" spans="1:16" x14ac:dyDescent="0.3">
      <c r="A1" s="298"/>
      <c r="B1" s="196"/>
      <c r="C1" s="50" t="str">
        <f>CPU_Serviços!$C$1</f>
        <v>Prefeitura Municipal de Colatina</v>
      </c>
      <c r="D1" s="50"/>
      <c r="E1" s="50"/>
      <c r="F1" s="50"/>
      <c r="G1" s="50"/>
      <c r="H1" s="50"/>
      <c r="I1" s="50"/>
      <c r="J1" s="50"/>
      <c r="K1" s="50"/>
      <c r="L1" s="50"/>
    </row>
    <row r="2" spans="1:16" x14ac:dyDescent="0.3">
      <c r="A2" s="298"/>
      <c r="B2" s="196"/>
      <c r="C2" s="306" t="str">
        <f>CPU_Serviços!$C$2</f>
        <v>Secretaria Municipal de Habitação e Regularização Fundiária</v>
      </c>
      <c r="D2" s="306"/>
      <c r="E2" s="306"/>
      <c r="F2" s="31"/>
      <c r="G2" s="31"/>
      <c r="H2" s="31"/>
      <c r="I2" s="31"/>
      <c r="J2" s="31"/>
      <c r="K2" s="31"/>
      <c r="L2" s="31"/>
    </row>
    <row r="3" spans="1:16" ht="6.6" customHeight="1" x14ac:dyDescent="0.3">
      <c r="A3" s="298"/>
      <c r="B3" s="196"/>
      <c r="E3" s="30"/>
    </row>
    <row r="4" spans="1:16" x14ac:dyDescent="0.3">
      <c r="A4" s="298"/>
      <c r="B4" s="196"/>
      <c r="C4" s="32" t="s">
        <v>735</v>
      </c>
      <c r="D4" s="32"/>
      <c r="E4" s="32"/>
      <c r="F4" s="32"/>
      <c r="G4" s="32"/>
      <c r="H4" s="32"/>
      <c r="I4" s="32"/>
      <c r="J4" s="32"/>
      <c r="K4" s="32"/>
      <c r="L4" s="32"/>
    </row>
    <row r="5" spans="1:16" x14ac:dyDescent="0.3">
      <c r="A5" s="298"/>
      <c r="B5" s="196"/>
      <c r="C5" s="30" t="s">
        <v>236</v>
      </c>
      <c r="E5" s="30"/>
      <c r="M5" s="471"/>
      <c r="N5" s="471"/>
      <c r="O5" s="471"/>
      <c r="P5" s="471"/>
    </row>
    <row r="6" spans="1:16" x14ac:dyDescent="0.3">
      <c r="A6" s="520" t="s">
        <v>99</v>
      </c>
      <c r="B6" s="520" t="s">
        <v>50</v>
      </c>
      <c r="C6" s="522" t="s">
        <v>200</v>
      </c>
      <c r="D6" s="501" t="s">
        <v>201</v>
      </c>
      <c r="E6" s="502"/>
      <c r="F6" s="502"/>
      <c r="G6" s="502"/>
      <c r="H6" s="502"/>
      <c r="I6" s="502"/>
      <c r="J6" s="502"/>
      <c r="K6" s="502"/>
      <c r="L6" s="503"/>
      <c r="M6" s="505"/>
      <c r="N6" s="471"/>
      <c r="O6" s="471"/>
      <c r="P6" s="471"/>
    </row>
    <row r="7" spans="1:16" x14ac:dyDescent="0.3">
      <c r="A7" s="521"/>
      <c r="B7" s="521"/>
      <c r="C7" s="523"/>
      <c r="D7" s="243" t="s">
        <v>223</v>
      </c>
      <c r="E7" s="243" t="s">
        <v>237</v>
      </c>
      <c r="F7" s="243" t="s">
        <v>222</v>
      </c>
      <c r="G7" s="243" t="s">
        <v>558</v>
      </c>
      <c r="H7" s="243" t="s">
        <v>559</v>
      </c>
      <c r="I7" s="243" t="s">
        <v>567</v>
      </c>
      <c r="J7" s="243" t="s">
        <v>152</v>
      </c>
      <c r="K7" s="243" t="s">
        <v>124</v>
      </c>
      <c r="L7" s="241" t="s">
        <v>204</v>
      </c>
      <c r="M7" s="33"/>
      <c r="N7" s="45"/>
      <c r="O7" s="33"/>
    </row>
    <row r="8" spans="1:16" x14ac:dyDescent="0.3">
      <c r="A8" s="66" t="s">
        <v>23</v>
      </c>
      <c r="B8" s="216" t="str">
        <f>VLOOKUP(A8,$A$16:$D$34,2,FALSE)</f>
        <v>IC-K2.01</v>
      </c>
      <c r="C8" s="67" t="str">
        <f>VLOOKUP(A8,$A$16:$D$34,3,FALSE)</f>
        <v>Água mineral c/ 20l</v>
      </c>
      <c r="D8" s="278">
        <f>IFERROR(VLOOKUP($D$7,$D$16:$E$18,2,FALSE),0)</f>
        <v>0</v>
      </c>
      <c r="E8" s="278">
        <f>IFERROR(VLOOKUP($E$7,$D$16:$E$18,2,FALSE),0)</f>
        <v>0</v>
      </c>
      <c r="F8" s="278">
        <f>IFERROR(VLOOKUP($F$7,$D$16:$E$18,2,FALSE),0)</f>
        <v>18.989999999999998</v>
      </c>
      <c r="G8" s="278">
        <f>IFERROR(VLOOKUP($G$7,$D$16:$E$18,2,FALSE),0)</f>
        <v>12.98</v>
      </c>
      <c r="H8" s="278">
        <f>IFERROR(VLOOKUP(H7,$D$16:$E$18,2,FALSE),0)</f>
        <v>18.989999999999998</v>
      </c>
      <c r="I8" s="278">
        <f t="shared" ref="I8:J8" si="0">IFERROR(VLOOKUP(I7,$D$16:$E$18,2,FALSE),0)</f>
        <v>0</v>
      </c>
      <c r="J8" s="278">
        <f t="shared" si="0"/>
        <v>0</v>
      </c>
      <c r="K8" s="278">
        <f>IFERROR(VLOOKUP(K7,$D$16:$E$18,2,FALSE),0)</f>
        <v>0</v>
      </c>
      <c r="L8" s="37">
        <f>SUM(D8:K8)/3</f>
        <v>16.986666666666665</v>
      </c>
      <c r="M8" s="34"/>
      <c r="N8" s="31"/>
      <c r="O8" s="34"/>
    </row>
    <row r="9" spans="1:16" x14ac:dyDescent="0.3">
      <c r="A9" s="66" t="s">
        <v>22</v>
      </c>
      <c r="B9" s="216" t="str">
        <f t="shared" ref="B9:B12" si="1">VLOOKUP(A9,$A$16:$D$34,2,FALSE)</f>
        <v>IC-K2.02</v>
      </c>
      <c r="C9" s="67" t="str">
        <f t="shared" ref="C9:C12" si="2">VLOOKUP(A9,$A$16:$D$34,3,FALSE)</f>
        <v>Café moído (pacote 500g)</v>
      </c>
      <c r="D9" s="278">
        <f>IFERROR(VLOOKUP(D7,$D$20:$E$22,2,FALSE),0)</f>
        <v>0</v>
      </c>
      <c r="E9" s="278">
        <f t="shared" ref="E9:H9" si="3">IFERROR(VLOOKUP(E7,$D$20:$E$22,2,FALSE),0)</f>
        <v>20.98</v>
      </c>
      <c r="F9" s="278">
        <f t="shared" si="3"/>
        <v>17.989999999999998</v>
      </c>
      <c r="G9" s="278">
        <f t="shared" si="3"/>
        <v>20.99</v>
      </c>
      <c r="H9" s="278">
        <f t="shared" si="3"/>
        <v>0</v>
      </c>
      <c r="I9" s="278">
        <f t="shared" ref="I9:J9" si="4">IFERROR(VLOOKUP(I7,$D$20:$E$22,2,FALSE),0)</f>
        <v>0</v>
      </c>
      <c r="J9" s="278">
        <f t="shared" si="4"/>
        <v>0</v>
      </c>
      <c r="K9" s="278">
        <f t="shared" ref="K9" si="5">IFERROR(VLOOKUP(K7,$D$20:$E$22,2,FALSE),0)</f>
        <v>0</v>
      </c>
      <c r="L9" s="37">
        <f t="shared" ref="L9:L12" si="6">SUM(D9:K9)/3</f>
        <v>19.986666666666665</v>
      </c>
      <c r="M9" s="34"/>
      <c r="N9" s="31"/>
      <c r="O9" s="34"/>
    </row>
    <row r="10" spans="1:16" x14ac:dyDescent="0.3">
      <c r="A10" s="66" t="s">
        <v>21</v>
      </c>
      <c r="B10" s="216" t="str">
        <f t="shared" si="1"/>
        <v>IC-K2.03</v>
      </c>
      <c r="C10" s="67" t="str">
        <f t="shared" si="2"/>
        <v>Açucar (pacote 5kg)</v>
      </c>
      <c r="D10" s="278">
        <f>IFERROR(VLOOKUP(D7,$D$24:$E$26,2,FALSE),0)</f>
        <v>21.99</v>
      </c>
      <c r="E10" s="278">
        <f t="shared" ref="E10:H10" si="7">IFERROR(VLOOKUP(E7,$D$24:$E$26,2,FALSE),0)</f>
        <v>20.99</v>
      </c>
      <c r="F10" s="278">
        <f t="shared" si="7"/>
        <v>0</v>
      </c>
      <c r="G10" s="278">
        <f t="shared" si="7"/>
        <v>0</v>
      </c>
      <c r="H10" s="278">
        <f t="shared" si="7"/>
        <v>18.489999999999998</v>
      </c>
      <c r="I10" s="278">
        <f t="shared" ref="I10:J10" si="8">IFERROR(VLOOKUP(I7,$D$24:$E$26,2,FALSE),0)</f>
        <v>0</v>
      </c>
      <c r="J10" s="278">
        <f t="shared" si="8"/>
        <v>0</v>
      </c>
      <c r="K10" s="278">
        <f t="shared" ref="K10" si="9">IFERROR(VLOOKUP(K7,$D$24:$E$26,2,FALSE),0)</f>
        <v>0</v>
      </c>
      <c r="L10" s="37">
        <f t="shared" si="6"/>
        <v>20.49</v>
      </c>
      <c r="M10" s="34"/>
      <c r="N10" s="31"/>
      <c r="O10" s="34"/>
    </row>
    <row r="11" spans="1:16" x14ac:dyDescent="0.3">
      <c r="A11" s="66" t="s">
        <v>20</v>
      </c>
      <c r="B11" s="216" t="str">
        <f t="shared" si="1"/>
        <v>IC-K2.04</v>
      </c>
      <c r="C11" s="67" t="str">
        <f t="shared" si="2"/>
        <v>Copo descartável 200ml (caixa com 2500und)</v>
      </c>
      <c r="D11" s="278">
        <f>IFERROR(VLOOKUP(D7,$D$28:$E$30,2,FALSE),0)</f>
        <v>120</v>
      </c>
      <c r="E11" s="278">
        <f t="shared" ref="E11:H11" si="10">IFERROR(VLOOKUP(E7,$D$28:$E$30,2,FALSE),0)</f>
        <v>0</v>
      </c>
      <c r="F11" s="278">
        <f t="shared" si="10"/>
        <v>0</v>
      </c>
      <c r="G11" s="278">
        <f t="shared" si="10"/>
        <v>0</v>
      </c>
      <c r="H11" s="278">
        <f t="shared" si="10"/>
        <v>0</v>
      </c>
      <c r="I11" s="278">
        <f t="shared" ref="I11:J11" si="11">IFERROR(VLOOKUP(I7,$D$28:$E$30,2,FALSE),0)</f>
        <v>129</v>
      </c>
      <c r="J11" s="278">
        <f t="shared" si="11"/>
        <v>149.25</v>
      </c>
      <c r="K11" s="278">
        <f t="shared" ref="K11" si="12">IFERROR(VLOOKUP(K7,$D$28:$E$30,2,FALSE),0)</f>
        <v>0</v>
      </c>
      <c r="L11" s="37">
        <f t="shared" si="6"/>
        <v>132.75</v>
      </c>
      <c r="M11" s="34"/>
      <c r="N11" s="31"/>
      <c r="O11" s="34"/>
    </row>
    <row r="12" spans="1:16" x14ac:dyDescent="0.3">
      <c r="A12" s="66" t="s">
        <v>29</v>
      </c>
      <c r="B12" s="216" t="str">
        <f t="shared" si="1"/>
        <v>IC-K2.05</v>
      </c>
      <c r="C12" s="67" t="str">
        <f t="shared" si="2"/>
        <v>Copo descartável 50ml (caixa com 5000und)</v>
      </c>
      <c r="D12" s="278">
        <f>IFERROR(VLOOKUP(D7,$D$32:$E$34,2,FALSE),0)</f>
        <v>0</v>
      </c>
      <c r="E12" s="278">
        <f t="shared" ref="E12:H12" si="13">IFERROR(VLOOKUP(E7,$D$32:$E$34,2,FALSE),0)</f>
        <v>0</v>
      </c>
      <c r="F12" s="278">
        <f t="shared" si="13"/>
        <v>0</v>
      </c>
      <c r="G12" s="278">
        <f t="shared" si="13"/>
        <v>0</v>
      </c>
      <c r="H12" s="278">
        <f t="shared" si="13"/>
        <v>0</v>
      </c>
      <c r="I12" s="278">
        <f t="shared" ref="I12:J12" si="14">IFERROR(VLOOKUP(I7,$D$32:$E$34,2,FALSE),0)</f>
        <v>129.9</v>
      </c>
      <c r="J12" s="278">
        <f t="shared" si="14"/>
        <v>118</v>
      </c>
      <c r="K12" s="278">
        <f t="shared" ref="K12" si="15">IFERROR(VLOOKUP(K7,$D$32:$E$34,2,FALSE),0)</f>
        <v>127.9</v>
      </c>
      <c r="L12" s="37">
        <f t="shared" si="6"/>
        <v>125.26666666666667</v>
      </c>
      <c r="M12" s="34"/>
      <c r="N12" s="31"/>
      <c r="O12" s="34"/>
    </row>
    <row r="13" spans="1:16" ht="6" customHeight="1" x14ac:dyDescent="0.3"/>
    <row r="14" spans="1:16" x14ac:dyDescent="0.3">
      <c r="A14" s="499" t="s">
        <v>500</v>
      </c>
      <c r="B14" s="499"/>
      <c r="C14" s="499"/>
      <c r="D14" s="499"/>
      <c r="E14" s="499"/>
      <c r="F14" s="499"/>
      <c r="G14" s="499"/>
      <c r="H14" s="499"/>
      <c r="I14" s="499"/>
      <c r="J14" s="499"/>
      <c r="K14" s="499"/>
      <c r="L14" s="499"/>
    </row>
    <row r="15" spans="1:16" x14ac:dyDescent="0.3">
      <c r="A15" s="243" t="s">
        <v>99</v>
      </c>
      <c r="B15" s="243" t="s">
        <v>50</v>
      </c>
      <c r="C15" s="243" t="s">
        <v>200</v>
      </c>
      <c r="D15" s="243" t="s">
        <v>501</v>
      </c>
      <c r="E15" s="249" t="s">
        <v>52</v>
      </c>
      <c r="F15" s="501" t="s">
        <v>502</v>
      </c>
      <c r="G15" s="502"/>
      <c r="H15" s="502"/>
      <c r="I15" s="502"/>
      <c r="J15" s="502"/>
      <c r="K15" s="503"/>
      <c r="L15" s="243" t="s">
        <v>503</v>
      </c>
    </row>
    <row r="16" spans="1:16" x14ac:dyDescent="0.3">
      <c r="A16" s="516" t="s">
        <v>23</v>
      </c>
      <c r="B16" s="529" t="s">
        <v>617</v>
      </c>
      <c r="C16" s="517" t="s">
        <v>238</v>
      </c>
      <c r="D16" s="36" t="s">
        <v>222</v>
      </c>
      <c r="E16" s="37">
        <v>18.989999999999998</v>
      </c>
      <c r="F16" s="545" t="s">
        <v>560</v>
      </c>
      <c r="G16" s="547"/>
      <c r="H16" s="547"/>
      <c r="I16" s="547"/>
      <c r="J16" s="547"/>
      <c r="K16" s="548"/>
      <c r="L16" s="208">
        <v>45469</v>
      </c>
    </row>
    <row r="17" spans="1:12" x14ac:dyDescent="0.3">
      <c r="A17" s="516"/>
      <c r="B17" s="530"/>
      <c r="C17" s="517"/>
      <c r="D17" s="36" t="s">
        <v>558</v>
      </c>
      <c r="E17" s="37">
        <v>12.98</v>
      </c>
      <c r="F17" s="545" t="s">
        <v>561</v>
      </c>
      <c r="G17" s="547"/>
      <c r="H17" s="547"/>
      <c r="I17" s="547"/>
      <c r="J17" s="547"/>
      <c r="K17" s="548"/>
      <c r="L17" s="208">
        <v>45469</v>
      </c>
    </row>
    <row r="18" spans="1:12" x14ac:dyDescent="0.3">
      <c r="A18" s="516"/>
      <c r="B18" s="531"/>
      <c r="C18" s="517"/>
      <c r="D18" s="36" t="s">
        <v>559</v>
      </c>
      <c r="E18" s="37">
        <v>18.989999999999998</v>
      </c>
      <c r="F18" s="545" t="s">
        <v>562</v>
      </c>
      <c r="G18" s="547"/>
      <c r="H18" s="547"/>
      <c r="I18" s="547"/>
      <c r="J18" s="547"/>
      <c r="K18" s="548"/>
      <c r="L18" s="208">
        <v>45469</v>
      </c>
    </row>
    <row r="19" spans="1:12" x14ac:dyDescent="0.3">
      <c r="A19" s="546" t="s">
        <v>520</v>
      </c>
      <c r="B19" s="546"/>
      <c r="C19" s="546"/>
      <c r="D19" s="546"/>
      <c r="E19" s="279">
        <f>(E16+E17+E18)/(COUNTA(E16:E18))</f>
        <v>16.986666666666665</v>
      </c>
      <c r="F19" s="535"/>
      <c r="G19" s="536"/>
      <c r="H19" s="536"/>
      <c r="I19" s="536"/>
      <c r="J19" s="536"/>
      <c r="K19" s="536"/>
      <c r="L19" s="537"/>
    </row>
    <row r="20" spans="1:12" x14ac:dyDescent="0.3">
      <c r="A20" s="516" t="s">
        <v>22</v>
      </c>
      <c r="B20" s="529" t="s">
        <v>618</v>
      </c>
      <c r="C20" s="517" t="s">
        <v>239</v>
      </c>
      <c r="D20" s="36" t="s">
        <v>222</v>
      </c>
      <c r="E20" s="37">
        <v>17.989999999999998</v>
      </c>
      <c r="F20" s="549" t="s">
        <v>563</v>
      </c>
      <c r="G20" s="550"/>
      <c r="H20" s="550"/>
      <c r="I20" s="550"/>
      <c r="J20" s="550"/>
      <c r="K20" s="551"/>
      <c r="L20" s="208">
        <v>45469</v>
      </c>
    </row>
    <row r="21" spans="1:12" x14ac:dyDescent="0.3">
      <c r="A21" s="516"/>
      <c r="B21" s="530"/>
      <c r="C21" s="517"/>
      <c r="D21" s="36" t="s">
        <v>558</v>
      </c>
      <c r="E21" s="37">
        <v>20.99</v>
      </c>
      <c r="F21" s="210" t="s">
        <v>573</v>
      </c>
      <c r="G21" s="211"/>
      <c r="H21" s="211"/>
      <c r="I21" s="211"/>
      <c r="J21" s="212"/>
      <c r="K21" s="213"/>
      <c r="L21" s="208">
        <v>45469</v>
      </c>
    </row>
    <row r="22" spans="1:12" x14ac:dyDescent="0.3">
      <c r="A22" s="516"/>
      <c r="B22" s="531"/>
      <c r="C22" s="517"/>
      <c r="D22" s="36" t="s">
        <v>237</v>
      </c>
      <c r="E22" s="37">
        <v>20.98</v>
      </c>
      <c r="F22" s="549" t="s">
        <v>564</v>
      </c>
      <c r="G22" s="550"/>
      <c r="H22" s="550"/>
      <c r="I22" s="550"/>
      <c r="J22" s="550"/>
      <c r="K22" s="551"/>
      <c r="L22" s="208">
        <v>45469</v>
      </c>
    </row>
    <row r="23" spans="1:12" x14ac:dyDescent="0.3">
      <c r="A23" s="546" t="s">
        <v>520</v>
      </c>
      <c r="B23" s="546"/>
      <c r="C23" s="546"/>
      <c r="D23" s="546"/>
      <c r="E23" s="279">
        <f>(E20+E21+E22)/(COUNTA(E20:E22))</f>
        <v>19.986666666666665</v>
      </c>
      <c r="F23" s="535"/>
      <c r="G23" s="536"/>
      <c r="H23" s="536"/>
      <c r="I23" s="536"/>
      <c r="J23" s="536"/>
      <c r="K23" s="536"/>
      <c r="L23" s="537"/>
    </row>
    <row r="24" spans="1:12" x14ac:dyDescent="0.3">
      <c r="A24" s="516" t="s">
        <v>21</v>
      </c>
      <c r="B24" s="529" t="s">
        <v>619</v>
      </c>
      <c r="C24" s="517" t="s">
        <v>240</v>
      </c>
      <c r="D24" s="36" t="s">
        <v>223</v>
      </c>
      <c r="E24" s="37">
        <v>21.99</v>
      </c>
      <c r="F24" s="545" t="s">
        <v>565</v>
      </c>
      <c r="G24" s="547"/>
      <c r="H24" s="547"/>
      <c r="I24" s="547"/>
      <c r="J24" s="547"/>
      <c r="K24" s="548"/>
      <c r="L24" s="208">
        <v>45469</v>
      </c>
    </row>
    <row r="25" spans="1:12" x14ac:dyDescent="0.3">
      <c r="A25" s="516"/>
      <c r="B25" s="530"/>
      <c r="C25" s="517"/>
      <c r="D25" s="36" t="s">
        <v>559</v>
      </c>
      <c r="E25" s="37">
        <v>18.489999999999998</v>
      </c>
      <c r="F25" s="545" t="s">
        <v>574</v>
      </c>
      <c r="G25" s="547"/>
      <c r="H25" s="547"/>
      <c r="I25" s="547"/>
      <c r="J25" s="547"/>
      <c r="K25" s="548"/>
      <c r="L25" s="208">
        <v>45469</v>
      </c>
    </row>
    <row r="26" spans="1:12" x14ac:dyDescent="0.3">
      <c r="A26" s="516"/>
      <c r="B26" s="531"/>
      <c r="C26" s="517"/>
      <c r="D26" s="36" t="s">
        <v>237</v>
      </c>
      <c r="E26" s="37">
        <v>20.99</v>
      </c>
      <c r="F26" s="545" t="s">
        <v>566</v>
      </c>
      <c r="G26" s="547"/>
      <c r="H26" s="547"/>
      <c r="I26" s="547"/>
      <c r="J26" s="547"/>
      <c r="K26" s="548"/>
      <c r="L26" s="208">
        <v>45469</v>
      </c>
    </row>
    <row r="27" spans="1:12" x14ac:dyDescent="0.3">
      <c r="A27" s="546" t="s">
        <v>520</v>
      </c>
      <c r="B27" s="546"/>
      <c r="C27" s="546"/>
      <c r="D27" s="546"/>
      <c r="E27" s="279">
        <f>(E24+E25+E26)/(COUNTA(E24:E26))</f>
        <v>20.49</v>
      </c>
      <c r="F27" s="535"/>
      <c r="G27" s="536"/>
      <c r="H27" s="536"/>
      <c r="I27" s="536"/>
      <c r="J27" s="536"/>
      <c r="K27" s="536"/>
      <c r="L27" s="537"/>
    </row>
    <row r="28" spans="1:12" x14ac:dyDescent="0.3">
      <c r="A28" s="516" t="s">
        <v>20</v>
      </c>
      <c r="B28" s="529" t="s">
        <v>620</v>
      </c>
      <c r="C28" s="517" t="s">
        <v>241</v>
      </c>
      <c r="D28" s="36" t="s">
        <v>152</v>
      </c>
      <c r="E28" s="37">
        <v>149.25</v>
      </c>
      <c r="F28" s="545" t="s">
        <v>568</v>
      </c>
      <c r="G28" s="547"/>
      <c r="H28" s="547"/>
      <c r="I28" s="547"/>
      <c r="J28" s="547"/>
      <c r="K28" s="548"/>
      <c r="L28" s="208">
        <v>45469</v>
      </c>
    </row>
    <row r="29" spans="1:12" x14ac:dyDescent="0.3">
      <c r="A29" s="516"/>
      <c r="B29" s="530"/>
      <c r="C29" s="517"/>
      <c r="D29" s="36" t="s">
        <v>567</v>
      </c>
      <c r="E29" s="37">
        <v>129</v>
      </c>
      <c r="F29" s="545" t="s">
        <v>569</v>
      </c>
      <c r="G29" s="547"/>
      <c r="H29" s="547"/>
      <c r="I29" s="547"/>
      <c r="J29" s="547"/>
      <c r="K29" s="548"/>
      <c r="L29" s="208">
        <v>45469</v>
      </c>
    </row>
    <row r="30" spans="1:12" x14ac:dyDescent="0.3">
      <c r="A30" s="516"/>
      <c r="B30" s="531"/>
      <c r="C30" s="517"/>
      <c r="D30" s="36" t="s">
        <v>223</v>
      </c>
      <c r="E30" s="37">
        <v>120</v>
      </c>
      <c r="F30" s="545" t="s">
        <v>570</v>
      </c>
      <c r="G30" s="547"/>
      <c r="H30" s="547"/>
      <c r="I30" s="547"/>
      <c r="J30" s="547"/>
      <c r="K30" s="548"/>
      <c r="L30" s="208">
        <v>45469</v>
      </c>
    </row>
    <row r="31" spans="1:12" x14ac:dyDescent="0.3">
      <c r="A31" s="546" t="s">
        <v>520</v>
      </c>
      <c r="B31" s="546"/>
      <c r="C31" s="546"/>
      <c r="D31" s="546"/>
      <c r="E31" s="279">
        <f>(E28+E29+E30)/(COUNTA(E28:E30))</f>
        <v>132.75</v>
      </c>
      <c r="F31" s="535"/>
      <c r="G31" s="536"/>
      <c r="H31" s="536"/>
      <c r="I31" s="536"/>
      <c r="J31" s="536"/>
      <c r="K31" s="536"/>
      <c r="L31" s="537"/>
    </row>
    <row r="32" spans="1:12" x14ac:dyDescent="0.3">
      <c r="A32" s="516" t="s">
        <v>29</v>
      </c>
      <c r="B32" s="529" t="s">
        <v>621</v>
      </c>
      <c r="C32" s="517" t="s">
        <v>242</v>
      </c>
      <c r="D32" s="36" t="s">
        <v>152</v>
      </c>
      <c r="E32" s="37">
        <v>118</v>
      </c>
      <c r="F32" s="545" t="s">
        <v>571</v>
      </c>
      <c r="G32" s="547"/>
      <c r="H32" s="547"/>
      <c r="I32" s="547"/>
      <c r="J32" s="547"/>
      <c r="K32" s="548"/>
      <c r="L32" s="208">
        <v>45469</v>
      </c>
    </row>
    <row r="33" spans="1:12" x14ac:dyDescent="0.3">
      <c r="A33" s="516"/>
      <c r="B33" s="530"/>
      <c r="C33" s="517"/>
      <c r="D33" s="36" t="s">
        <v>567</v>
      </c>
      <c r="E33" s="37">
        <v>129.9</v>
      </c>
      <c r="F33" s="545" t="s">
        <v>572</v>
      </c>
      <c r="G33" s="547"/>
      <c r="H33" s="547"/>
      <c r="I33" s="547"/>
      <c r="J33" s="547"/>
      <c r="K33" s="548"/>
      <c r="L33" s="208">
        <v>45469</v>
      </c>
    </row>
    <row r="34" spans="1:12" x14ac:dyDescent="0.3">
      <c r="A34" s="516"/>
      <c r="B34" s="531"/>
      <c r="C34" s="517"/>
      <c r="D34" s="36" t="s">
        <v>124</v>
      </c>
      <c r="E34" s="37">
        <v>127.9</v>
      </c>
      <c r="F34" s="545" t="s">
        <v>575</v>
      </c>
      <c r="G34" s="547"/>
      <c r="H34" s="547"/>
      <c r="I34" s="547"/>
      <c r="J34" s="547"/>
      <c r="K34" s="548"/>
      <c r="L34" s="208">
        <v>45469</v>
      </c>
    </row>
    <row r="35" spans="1:12" x14ac:dyDescent="0.3">
      <c r="A35" s="546" t="s">
        <v>520</v>
      </c>
      <c r="B35" s="546"/>
      <c r="C35" s="546"/>
      <c r="D35" s="546"/>
      <c r="E35" s="279">
        <f>(E32+E33+E34)/(COUNTA(E32:E34))</f>
        <v>125.26666666666667</v>
      </c>
      <c r="F35" s="535"/>
      <c r="G35" s="536"/>
      <c r="H35" s="536"/>
      <c r="I35" s="536"/>
      <c r="J35" s="536"/>
      <c r="K35" s="536"/>
      <c r="L35" s="537"/>
    </row>
  </sheetData>
  <mergeCells count="48">
    <mergeCell ref="A14:L14"/>
    <mergeCell ref="F35:L35"/>
    <mergeCell ref="F20:K20"/>
    <mergeCell ref="F22:K22"/>
    <mergeCell ref="F24:K24"/>
    <mergeCell ref="F34:K34"/>
    <mergeCell ref="F31:L31"/>
    <mergeCell ref="F28:K28"/>
    <mergeCell ref="F29:K29"/>
    <mergeCell ref="F30:K30"/>
    <mergeCell ref="F32:K32"/>
    <mergeCell ref="F33:K33"/>
    <mergeCell ref="F15:K15"/>
    <mergeCell ref="F19:L19"/>
    <mergeCell ref="F23:L23"/>
    <mergeCell ref="F27:L27"/>
    <mergeCell ref="F18:K18"/>
    <mergeCell ref="F17:K17"/>
    <mergeCell ref="F16:K16"/>
    <mergeCell ref="F25:K25"/>
    <mergeCell ref="F26:K26"/>
    <mergeCell ref="A35:D35"/>
    <mergeCell ref="A31:D31"/>
    <mergeCell ref="A32:A34"/>
    <mergeCell ref="C32:C34"/>
    <mergeCell ref="A27:D27"/>
    <mergeCell ref="A28:A30"/>
    <mergeCell ref="C28:C30"/>
    <mergeCell ref="M5:P5"/>
    <mergeCell ref="A6:A7"/>
    <mergeCell ref="C6:C7"/>
    <mergeCell ref="M6:N6"/>
    <mergeCell ref="O6:P6"/>
    <mergeCell ref="D6:L6"/>
    <mergeCell ref="B6:B7"/>
    <mergeCell ref="B16:B18"/>
    <mergeCell ref="B20:B22"/>
    <mergeCell ref="B24:B26"/>
    <mergeCell ref="B28:B30"/>
    <mergeCell ref="B32:B34"/>
    <mergeCell ref="A19:D19"/>
    <mergeCell ref="C16:C18"/>
    <mergeCell ref="A16:A18"/>
    <mergeCell ref="A23:D23"/>
    <mergeCell ref="A24:A26"/>
    <mergeCell ref="C24:C26"/>
    <mergeCell ref="A20:A22"/>
    <mergeCell ref="C20:C22"/>
  </mergeCells>
  <phoneticPr fontId="51" type="noConversion"/>
  <hyperlinks>
    <hyperlink ref="F16" r:id="rId1" xr:uid="{3A9EB0B3-A51E-449E-8009-6D3D4211D21C}"/>
    <hyperlink ref="F17" r:id="rId2" xr:uid="{93F518A4-E7E1-4785-880E-8F7E669B58D6}"/>
    <hyperlink ref="F18" r:id="rId3" xr:uid="{38896326-0E3C-485F-9369-730682E1D01A}"/>
    <hyperlink ref="F20" r:id="rId4" xr:uid="{A32EF77B-EAB9-4393-8F47-7AC73A2C92C5}"/>
    <hyperlink ref="F21" r:id="rId5" xr:uid="{5D5C3647-C70B-4777-9E63-852C972CF095}"/>
    <hyperlink ref="F22" r:id="rId6" xr:uid="{BCB365FA-3C1F-4554-877E-CA63DB1B67A2}"/>
    <hyperlink ref="F24" r:id="rId7" xr:uid="{FA8DCE35-B857-41AC-B094-787F3242655C}"/>
    <hyperlink ref="F25" r:id="rId8" xr:uid="{0C370A41-7A0C-457A-911A-7FCC280679EA}"/>
    <hyperlink ref="F26" r:id="rId9" xr:uid="{4F81D68B-53F5-4340-AFAD-A82BDF6CFC9F}"/>
    <hyperlink ref="F28" r:id="rId10" xr:uid="{54DA8D46-8EA7-4055-A6FA-27CA260E68A2}"/>
    <hyperlink ref="F29" r:id="rId11" location="position=13&amp;search_layout=stack&amp;type=item&amp;tracking_id=776654cd-f415-4186-973b-03ae64e2a9c8" xr:uid="{8007B7B7-773E-40D9-95C5-0E13A58F58DD}"/>
    <hyperlink ref="F30" r:id="rId12" xr:uid="{FF278686-98AC-4AEC-A23D-006F738928EC}"/>
    <hyperlink ref="F32" r:id="rId13" xr:uid="{AAC8CFDD-D50A-4B54-BF51-60DF2F0AADC1}"/>
    <hyperlink ref="F33" r:id="rId14" location="position=1&amp;search_layout=grid&amp;type=item&amp;tracking_id=22d1abed-891c-43aa-a75e-54b847e6060a" xr:uid="{B19B71F6-9241-4C8B-97CB-7A78F9FC702C}"/>
    <hyperlink ref="F34" r:id="rId15" xr:uid="{B9AD4B3B-5B70-471C-8747-9E6F2CF75242}"/>
  </hyperlinks>
  <pageMargins left="0.511811024" right="0.511811024" top="0.78740157499999996" bottom="1.0406249999999999" header="0.31496062000000002" footer="0.31496062000000002"/>
  <pageSetup paperSize="9" scale="90" fitToWidth="0" fitToHeight="0" orientation="landscape" r:id="rId16"/>
  <headerFooter>
    <oddFooter>&amp;RPrefeitura Municipal de Colatina
Travessa Avelino Guerra, 111, Sagrado Coração de Jesus
Telefone: (27) 3177-7000 | https://colatina.es.gov.br/</oddFooter>
  </headerFooter>
  <drawing r:id="rId17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81E25-1D75-48A2-9170-525A37225812}">
  <sheetPr>
    <tabColor rgb="FF92D050"/>
  </sheetPr>
  <dimension ref="A1:M72"/>
  <sheetViews>
    <sheetView view="pageBreakPreview" zoomScaleNormal="100" zoomScaleSheetLayoutView="100" zoomScalePageLayoutView="80" workbookViewId="0">
      <selection activeCell="B67" sqref="B67"/>
    </sheetView>
  </sheetViews>
  <sheetFormatPr defaultColWidth="8.88671875" defaultRowHeight="15.6" x14ac:dyDescent="0.3"/>
  <cols>
    <col min="1" max="1" width="12.5546875" style="30" customWidth="1"/>
    <col min="2" max="2" width="112.33203125" style="30" customWidth="1"/>
    <col min="3" max="3" width="6.6640625" style="222" bestFit="1" customWidth="1"/>
    <col min="4" max="4" width="4.88671875" style="33" bestFit="1" customWidth="1"/>
    <col min="5" max="5" width="10.5546875" style="30" bestFit="1" customWidth="1"/>
    <col min="6" max="6" width="41.88671875" style="30" bestFit="1" customWidth="1"/>
    <col min="7" max="7" width="11.109375" style="80" bestFit="1" customWidth="1"/>
    <col min="8" max="8" width="13.33203125" style="80" bestFit="1" customWidth="1"/>
    <col min="9" max="9" width="48.5546875" style="80" bestFit="1" customWidth="1"/>
    <col min="10" max="10" width="8.88671875" style="30"/>
    <col min="11" max="11" width="13.33203125" style="30" bestFit="1" customWidth="1"/>
    <col min="12" max="12" width="8.88671875" style="30"/>
    <col min="13" max="13" width="13.33203125" style="30" bestFit="1" customWidth="1"/>
    <col min="14" max="16384" width="8.88671875" style="30"/>
  </cols>
  <sheetData>
    <row r="1" spans="1:13" x14ac:dyDescent="0.3">
      <c r="A1" s="498"/>
      <c r="B1" s="50" t="str">
        <f>CPU_Serviços!$C$1</f>
        <v>Prefeitura Municipal de Colatina</v>
      </c>
      <c r="C1" s="50"/>
      <c r="D1" s="50"/>
      <c r="E1" s="179"/>
      <c r="F1" s="179"/>
      <c r="G1" s="224"/>
      <c r="H1" s="224"/>
      <c r="I1" s="224"/>
    </row>
    <row r="2" spans="1:13" x14ac:dyDescent="0.3">
      <c r="A2" s="498"/>
      <c r="B2" s="306" t="str">
        <f>CPU_Serviços!$C$2</f>
        <v>Secretaria Municipal de Habitação e Regularização Fundiária</v>
      </c>
      <c r="C2" s="306"/>
      <c r="D2" s="306"/>
      <c r="E2" s="180"/>
      <c r="F2" s="180"/>
      <c r="G2" s="215"/>
      <c r="H2" s="215"/>
      <c r="I2" s="215"/>
    </row>
    <row r="3" spans="1:13" ht="6.6" customHeight="1" x14ac:dyDescent="0.3">
      <c r="A3" s="498"/>
      <c r="C3" s="30"/>
      <c r="D3" s="30"/>
      <c r="G3" s="30"/>
      <c r="H3" s="30"/>
      <c r="I3" s="30"/>
    </row>
    <row r="4" spans="1:13" x14ac:dyDescent="0.3">
      <c r="A4" s="498"/>
      <c r="B4" s="32" t="s">
        <v>735</v>
      </c>
      <c r="C4" s="223"/>
      <c r="D4" s="218"/>
      <c r="E4" s="32"/>
      <c r="F4" s="32"/>
      <c r="G4" s="187"/>
      <c r="H4" s="187"/>
      <c r="I4" s="187"/>
    </row>
    <row r="5" spans="1:13" x14ac:dyDescent="0.3">
      <c r="A5" s="498"/>
      <c r="B5" s="30" t="s">
        <v>706</v>
      </c>
      <c r="J5" s="471"/>
      <c r="K5" s="471"/>
      <c r="L5" s="471"/>
      <c r="M5" s="471"/>
    </row>
    <row r="6" spans="1:13" x14ac:dyDescent="0.3">
      <c r="A6" s="534" t="s">
        <v>244</v>
      </c>
      <c r="B6" s="534"/>
      <c r="C6" s="247" t="s">
        <v>245</v>
      </c>
      <c r="D6" s="248" t="s">
        <v>246</v>
      </c>
      <c r="E6" s="50"/>
      <c r="F6" s="50"/>
      <c r="G6" s="185"/>
      <c r="H6" s="185"/>
      <c r="I6" s="225"/>
      <c r="J6" s="471"/>
      <c r="K6" s="471"/>
      <c r="L6" s="471"/>
      <c r="M6" s="471"/>
    </row>
    <row r="7" spans="1:13" x14ac:dyDescent="0.3">
      <c r="A7" s="270" t="s">
        <v>676</v>
      </c>
      <c r="B7" s="270"/>
      <c r="C7" s="276">
        <f>2000/5000</f>
        <v>0.4</v>
      </c>
      <c r="D7" s="262" t="s">
        <v>651</v>
      </c>
      <c r="E7" s="33"/>
      <c r="F7" s="33"/>
      <c r="G7" s="185"/>
      <c r="H7" s="185"/>
      <c r="I7" s="225"/>
      <c r="J7" s="45"/>
      <c r="K7" s="33"/>
      <c r="L7" s="45"/>
      <c r="M7" s="33"/>
    </row>
    <row r="8" spans="1:13" x14ac:dyDescent="0.3">
      <c r="A8" s="70" t="s">
        <v>677</v>
      </c>
      <c r="C8" s="219"/>
      <c r="D8" s="220"/>
      <c r="E8" s="68"/>
      <c r="F8" s="68"/>
      <c r="G8" s="226"/>
      <c r="H8" s="226"/>
      <c r="I8" s="226"/>
      <c r="J8" s="31"/>
      <c r="K8" s="34"/>
      <c r="L8" s="31"/>
      <c r="M8" s="34"/>
    </row>
    <row r="9" spans="1:13" x14ac:dyDescent="0.3">
      <c r="A9" s="217" t="s">
        <v>678</v>
      </c>
      <c r="C9" s="219"/>
      <c r="D9" s="220"/>
      <c r="E9" s="68"/>
      <c r="F9" s="68"/>
      <c r="G9" s="226"/>
      <c r="H9" s="226"/>
      <c r="I9" s="226"/>
      <c r="J9" s="31"/>
      <c r="K9" s="34"/>
      <c r="L9" s="31"/>
      <c r="M9" s="34"/>
    </row>
    <row r="10" spans="1:13" x14ac:dyDescent="0.3">
      <c r="A10" s="270" t="s">
        <v>498</v>
      </c>
      <c r="B10" s="270"/>
      <c r="C10" s="276">
        <f>8/24</f>
        <v>0.33333333333333331</v>
      </c>
      <c r="D10" s="262" t="s">
        <v>699</v>
      </c>
      <c r="E10" s="68"/>
      <c r="F10" s="68"/>
      <c r="G10" s="226"/>
      <c r="H10" s="226"/>
      <c r="I10" s="226"/>
      <c r="J10" s="31"/>
      <c r="K10" s="34"/>
      <c r="L10" s="31"/>
      <c r="M10" s="34"/>
    </row>
    <row r="11" spans="1:13" x14ac:dyDescent="0.3">
      <c r="A11" s="70" t="s">
        <v>718</v>
      </c>
      <c r="C11" s="533"/>
      <c r="D11" s="220"/>
      <c r="E11" s="68"/>
      <c r="F11" s="68"/>
      <c r="G11" s="226"/>
      <c r="H11" s="226"/>
      <c r="I11" s="226"/>
      <c r="J11" s="31"/>
      <c r="K11" s="34"/>
      <c r="L11" s="31"/>
      <c r="M11" s="34"/>
    </row>
    <row r="12" spans="1:13" x14ac:dyDescent="0.3">
      <c r="A12" s="217" t="s">
        <v>719</v>
      </c>
      <c r="C12" s="533"/>
      <c r="D12" s="220"/>
      <c r="E12" s="68"/>
      <c r="F12" s="68"/>
      <c r="G12" s="226"/>
      <c r="H12" s="226"/>
      <c r="I12" s="226"/>
      <c r="J12" s="31"/>
      <c r="K12" s="34"/>
      <c r="L12" s="31"/>
      <c r="M12" s="34"/>
    </row>
    <row r="13" spans="1:13" x14ac:dyDescent="0.3">
      <c r="A13" s="270" t="s">
        <v>679</v>
      </c>
      <c r="B13" s="270"/>
      <c r="C13" s="276">
        <f>2/50</f>
        <v>0.04</v>
      </c>
      <c r="D13" s="262" t="s">
        <v>699</v>
      </c>
      <c r="E13" s="68"/>
      <c r="F13" s="68"/>
      <c r="G13" s="226"/>
      <c r="H13" s="226"/>
      <c r="I13" s="226"/>
      <c r="J13" s="31"/>
      <c r="K13" s="34"/>
      <c r="L13" s="31"/>
      <c r="M13" s="34"/>
    </row>
    <row r="14" spans="1:13" x14ac:dyDescent="0.3">
      <c r="A14" s="70" t="s">
        <v>680</v>
      </c>
      <c r="C14" s="533"/>
      <c r="D14" s="220"/>
      <c r="E14" s="68"/>
      <c r="F14" s="68"/>
      <c r="G14" s="226"/>
      <c r="H14" s="226"/>
      <c r="I14" s="226"/>
      <c r="J14" s="31"/>
      <c r="K14" s="34"/>
      <c r="L14" s="31"/>
      <c r="M14" s="34"/>
    </row>
    <row r="15" spans="1:13" x14ac:dyDescent="0.3">
      <c r="A15" s="217" t="s">
        <v>681</v>
      </c>
      <c r="C15" s="533"/>
      <c r="D15" s="220"/>
      <c r="E15" s="68"/>
      <c r="F15" s="68"/>
      <c r="G15" s="226"/>
      <c r="H15" s="226"/>
      <c r="I15" s="226"/>
      <c r="J15" s="31"/>
      <c r="K15" s="34"/>
      <c r="L15" s="31"/>
      <c r="M15" s="34"/>
    </row>
    <row r="16" spans="1:13" x14ac:dyDescent="0.3">
      <c r="A16" s="270" t="s">
        <v>683</v>
      </c>
      <c r="B16" s="270"/>
      <c r="C16" s="276">
        <f>2.5/50</f>
        <v>0.05</v>
      </c>
      <c r="D16" s="262" t="s">
        <v>699</v>
      </c>
      <c r="E16" s="68"/>
      <c r="F16" s="68"/>
      <c r="G16" s="226"/>
      <c r="H16" s="226"/>
      <c r="I16" s="226"/>
      <c r="J16" s="31"/>
      <c r="K16" s="34"/>
      <c r="L16" s="31"/>
      <c r="M16" s="34"/>
    </row>
    <row r="17" spans="1:9" x14ac:dyDescent="0.3">
      <c r="A17" s="532" t="s">
        <v>684</v>
      </c>
      <c r="B17" s="532"/>
      <c r="C17" s="219"/>
      <c r="D17" s="220"/>
      <c r="E17" s="181"/>
    </row>
    <row r="18" spans="1:9" x14ac:dyDescent="0.3">
      <c r="A18" s="217" t="s">
        <v>682</v>
      </c>
      <c r="C18" s="219"/>
      <c r="D18" s="220"/>
    </row>
    <row r="19" spans="1:9" x14ac:dyDescent="0.3">
      <c r="A19" s="261" t="s">
        <v>720</v>
      </c>
      <c r="B19" s="271"/>
      <c r="C19" s="277">
        <f>1.5/12</f>
        <v>0.125</v>
      </c>
      <c r="D19" s="273" t="s">
        <v>699</v>
      </c>
    </row>
    <row r="20" spans="1:9" x14ac:dyDescent="0.3">
      <c r="A20" s="70" t="s">
        <v>685</v>
      </c>
      <c r="C20" s="221"/>
      <c r="D20" s="221"/>
    </row>
    <row r="21" spans="1:9" x14ac:dyDescent="0.3">
      <c r="A21" s="217" t="s">
        <v>686</v>
      </c>
      <c r="C21" s="221"/>
      <c r="D21" s="221"/>
    </row>
    <row r="22" spans="1:9" x14ac:dyDescent="0.3">
      <c r="A22" s="265" t="s">
        <v>499</v>
      </c>
      <c r="B22" s="271"/>
      <c r="C22" s="276">
        <f>0.5</f>
        <v>0.5</v>
      </c>
      <c r="D22" s="262" t="s">
        <v>699</v>
      </c>
    </row>
    <row r="23" spans="1:9" x14ac:dyDescent="0.3">
      <c r="A23" s="70" t="s">
        <v>687</v>
      </c>
      <c r="C23" s="219"/>
      <c r="D23" s="220"/>
    </row>
    <row r="24" spans="1:9" x14ac:dyDescent="0.3">
      <c r="A24" s="85" t="s">
        <v>688</v>
      </c>
    </row>
    <row r="25" spans="1:9" x14ac:dyDescent="0.3">
      <c r="A25" s="261" t="s">
        <v>525</v>
      </c>
      <c r="B25" s="271"/>
      <c r="C25" s="277">
        <v>0.5</v>
      </c>
      <c r="D25" s="273" t="s">
        <v>699</v>
      </c>
    </row>
    <row r="26" spans="1:9" x14ac:dyDescent="0.3">
      <c r="A26" s="70" t="s">
        <v>687</v>
      </c>
      <c r="C26" s="219"/>
      <c r="D26" s="220"/>
    </row>
    <row r="27" spans="1:9" x14ac:dyDescent="0.3">
      <c r="A27" s="85" t="s">
        <v>688</v>
      </c>
      <c r="C27" s="219"/>
      <c r="D27" s="220"/>
      <c r="E27" s="50"/>
      <c r="F27" s="50"/>
      <c r="G27" s="185"/>
      <c r="H27" s="185"/>
      <c r="I27" s="30"/>
    </row>
    <row r="28" spans="1:9" x14ac:dyDescent="0.3">
      <c r="A28" s="265" t="s">
        <v>212</v>
      </c>
      <c r="B28" s="271"/>
      <c r="C28" s="276">
        <f>(1/12)*(1/3)</f>
        <v>2.7777777777777776E-2</v>
      </c>
      <c r="D28" s="262" t="s">
        <v>651</v>
      </c>
      <c r="I28" s="30"/>
    </row>
    <row r="29" spans="1:9" x14ac:dyDescent="0.3">
      <c r="A29" s="70" t="s">
        <v>689</v>
      </c>
      <c r="C29" s="219"/>
      <c r="D29" s="220"/>
      <c r="I29" s="30"/>
    </row>
    <row r="30" spans="1:9" x14ac:dyDescent="0.3">
      <c r="A30" s="85" t="s">
        <v>690</v>
      </c>
      <c r="I30" s="30"/>
    </row>
    <row r="31" spans="1:9" x14ac:dyDescent="0.3">
      <c r="A31" s="261" t="s">
        <v>213</v>
      </c>
      <c r="B31" s="271"/>
      <c r="C31" s="276">
        <f>20/100</f>
        <v>0.2</v>
      </c>
      <c r="D31" s="273" t="s">
        <v>651</v>
      </c>
      <c r="I31" s="30"/>
    </row>
    <row r="32" spans="1:9" x14ac:dyDescent="0.3">
      <c r="A32" s="70" t="s">
        <v>691</v>
      </c>
      <c r="C32" s="219"/>
      <c r="D32" s="220"/>
      <c r="I32" s="30"/>
    </row>
    <row r="33" spans="1:9" x14ac:dyDescent="0.3">
      <c r="A33" s="85" t="s">
        <v>692</v>
      </c>
      <c r="C33" s="219"/>
      <c r="D33" s="220"/>
      <c r="I33" s="30"/>
    </row>
    <row r="34" spans="1:9" x14ac:dyDescent="0.3">
      <c r="A34" s="265" t="s">
        <v>535</v>
      </c>
      <c r="B34" s="271"/>
      <c r="C34" s="276">
        <f>1/7</f>
        <v>0.14285714285714285</v>
      </c>
      <c r="D34" s="262" t="s">
        <v>651</v>
      </c>
    </row>
    <row r="35" spans="1:9" x14ac:dyDescent="0.3">
      <c r="A35" s="70" t="s">
        <v>693</v>
      </c>
      <c r="C35" s="219"/>
      <c r="D35" s="220"/>
    </row>
    <row r="36" spans="1:9" x14ac:dyDescent="0.3">
      <c r="A36" s="85" t="s">
        <v>694</v>
      </c>
    </row>
    <row r="37" spans="1:9" x14ac:dyDescent="0.3">
      <c r="A37" s="265" t="s">
        <v>214</v>
      </c>
      <c r="B37" s="271"/>
      <c r="C37" s="276">
        <f>(2/12)*(1/12)</f>
        <v>1.3888888888888888E-2</v>
      </c>
      <c r="D37" s="262" t="s">
        <v>651</v>
      </c>
    </row>
    <row r="38" spans="1:9" x14ac:dyDescent="0.3">
      <c r="A38" s="70" t="s">
        <v>695</v>
      </c>
      <c r="C38" s="219"/>
      <c r="D38" s="220"/>
    </row>
    <row r="39" spans="1:9" x14ac:dyDescent="0.3">
      <c r="A39" s="85" t="s">
        <v>696</v>
      </c>
    </row>
    <row r="40" spans="1:9" x14ac:dyDescent="0.3">
      <c r="A40" s="261" t="s">
        <v>215</v>
      </c>
      <c r="B40" s="271"/>
      <c r="C40" s="277">
        <f>1/12</f>
        <v>8.3333333333333329E-2</v>
      </c>
      <c r="D40" s="273" t="s">
        <v>5</v>
      </c>
    </row>
    <row r="41" spans="1:9" x14ac:dyDescent="0.3">
      <c r="A41" s="70" t="s">
        <v>697</v>
      </c>
      <c r="C41" s="219"/>
      <c r="D41" s="220"/>
    </row>
    <row r="42" spans="1:9" x14ac:dyDescent="0.3">
      <c r="A42" s="85" t="s">
        <v>698</v>
      </c>
      <c r="C42" s="219"/>
      <c r="D42" s="220"/>
    </row>
    <row r="43" spans="1:9" x14ac:dyDescent="0.3">
      <c r="A43" s="265" t="s">
        <v>216</v>
      </c>
      <c r="B43" s="271"/>
      <c r="C43" s="276">
        <f>1/12</f>
        <v>8.3333333333333329E-2</v>
      </c>
      <c r="D43" s="262" t="s">
        <v>5</v>
      </c>
    </row>
    <row r="44" spans="1:9" x14ac:dyDescent="0.3">
      <c r="A44" s="70" t="s">
        <v>697</v>
      </c>
      <c r="C44" s="219"/>
      <c r="D44" s="220"/>
    </row>
    <row r="45" spans="1:9" x14ac:dyDescent="0.3">
      <c r="A45" s="85" t="s">
        <v>698</v>
      </c>
    </row>
    <row r="46" spans="1:9" x14ac:dyDescent="0.3">
      <c r="A46" s="265" t="s">
        <v>217</v>
      </c>
      <c r="B46" s="271"/>
      <c r="C46" s="276">
        <f>(1/3)*(1/12)</f>
        <v>2.7777777777777776E-2</v>
      </c>
      <c r="D46" s="262" t="s">
        <v>699</v>
      </c>
    </row>
    <row r="47" spans="1:9" x14ac:dyDescent="0.3">
      <c r="A47" s="70" t="s">
        <v>689</v>
      </c>
      <c r="C47" s="219"/>
      <c r="D47" s="220"/>
    </row>
    <row r="48" spans="1:9" x14ac:dyDescent="0.3">
      <c r="A48" s="85" t="s">
        <v>690</v>
      </c>
    </row>
    <row r="49" spans="1:4" x14ac:dyDescent="0.3">
      <c r="A49" s="265" t="s">
        <v>218</v>
      </c>
      <c r="B49" s="271"/>
      <c r="C49" s="276">
        <f>1/2</f>
        <v>0.5</v>
      </c>
      <c r="D49" s="262" t="s">
        <v>699</v>
      </c>
    </row>
    <row r="50" spans="1:4" x14ac:dyDescent="0.3">
      <c r="A50" s="70" t="s">
        <v>700</v>
      </c>
      <c r="C50" s="219"/>
      <c r="D50" s="220"/>
    </row>
    <row r="51" spans="1:4" x14ac:dyDescent="0.3">
      <c r="A51" s="85" t="s">
        <v>701</v>
      </c>
    </row>
    <row r="52" spans="1:4" x14ac:dyDescent="0.3">
      <c r="A52" s="265" t="s">
        <v>219</v>
      </c>
      <c r="B52" s="271"/>
      <c r="C52" s="276">
        <f>1/24</f>
        <v>4.1666666666666664E-2</v>
      </c>
      <c r="D52" s="262" t="s">
        <v>699</v>
      </c>
    </row>
    <row r="53" spans="1:4" x14ac:dyDescent="0.3">
      <c r="A53" s="70" t="s">
        <v>702</v>
      </c>
      <c r="C53" s="219"/>
      <c r="D53" s="220"/>
    </row>
    <row r="54" spans="1:4" x14ac:dyDescent="0.3">
      <c r="A54" s="85" t="s">
        <v>703</v>
      </c>
    </row>
    <row r="55" spans="1:4" x14ac:dyDescent="0.3">
      <c r="A55" s="265" t="s">
        <v>220</v>
      </c>
      <c r="B55" s="271"/>
      <c r="C55" s="276">
        <f>1/12</f>
        <v>8.3333333333333329E-2</v>
      </c>
      <c r="D55" s="262" t="s">
        <v>651</v>
      </c>
    </row>
    <row r="56" spans="1:4" x14ac:dyDescent="0.3">
      <c r="A56" s="70" t="s">
        <v>704</v>
      </c>
      <c r="C56" s="219"/>
      <c r="D56" s="220"/>
    </row>
    <row r="57" spans="1:4" x14ac:dyDescent="0.3">
      <c r="A57" s="85" t="s">
        <v>705</v>
      </c>
    </row>
    <row r="58" spans="1:4" x14ac:dyDescent="0.3">
      <c r="A58" s="265" t="s">
        <v>238</v>
      </c>
      <c r="B58" s="271"/>
      <c r="C58" s="276">
        <v>4</v>
      </c>
      <c r="D58" s="262" t="s">
        <v>707</v>
      </c>
    </row>
    <row r="59" spans="1:4" x14ac:dyDescent="0.3">
      <c r="A59" s="70" t="s">
        <v>708</v>
      </c>
      <c r="C59" s="219"/>
      <c r="D59" s="220"/>
    </row>
    <row r="60" spans="1:4" x14ac:dyDescent="0.3">
      <c r="A60" s="85" t="s">
        <v>709</v>
      </c>
    </row>
    <row r="61" spans="1:4" x14ac:dyDescent="0.3">
      <c r="A61" s="265" t="s">
        <v>239</v>
      </c>
      <c r="B61" s="271"/>
      <c r="C61" s="276">
        <v>4</v>
      </c>
      <c r="D61" s="262" t="s">
        <v>5</v>
      </c>
    </row>
    <row r="62" spans="1:4" x14ac:dyDescent="0.3">
      <c r="A62" s="70" t="s">
        <v>710</v>
      </c>
      <c r="C62" s="219"/>
      <c r="D62" s="220"/>
    </row>
    <row r="63" spans="1:4" x14ac:dyDescent="0.3">
      <c r="A63" s="85" t="s">
        <v>711</v>
      </c>
    </row>
    <row r="64" spans="1:4" x14ac:dyDescent="0.3">
      <c r="A64" s="265" t="s">
        <v>240</v>
      </c>
      <c r="B64" s="271"/>
      <c r="C64" s="276">
        <v>1</v>
      </c>
      <c r="D64" s="262" t="s">
        <v>651</v>
      </c>
    </row>
    <row r="65" spans="1:4" x14ac:dyDescent="0.3">
      <c r="A65" s="70" t="s">
        <v>712</v>
      </c>
      <c r="C65" s="219"/>
      <c r="D65" s="220"/>
    </row>
    <row r="66" spans="1:4" x14ac:dyDescent="0.3">
      <c r="A66" s="85" t="s">
        <v>713</v>
      </c>
    </row>
    <row r="67" spans="1:4" x14ac:dyDescent="0.3">
      <c r="A67" s="265" t="s">
        <v>241</v>
      </c>
      <c r="B67" s="271"/>
      <c r="C67" s="276">
        <f>(12/8)*(1/12)</f>
        <v>0.125</v>
      </c>
      <c r="D67" s="262" t="s">
        <v>699</v>
      </c>
    </row>
    <row r="68" spans="1:4" x14ac:dyDescent="0.3">
      <c r="A68" s="70" t="s">
        <v>714</v>
      </c>
      <c r="C68" s="219"/>
      <c r="D68" s="220"/>
    </row>
    <row r="69" spans="1:4" x14ac:dyDescent="0.3">
      <c r="A69" s="85" t="s">
        <v>717</v>
      </c>
    </row>
    <row r="70" spans="1:4" x14ac:dyDescent="0.3">
      <c r="A70" s="265" t="s">
        <v>242</v>
      </c>
      <c r="B70" s="271"/>
      <c r="C70" s="276">
        <f>1/15</f>
        <v>6.6666666666666666E-2</v>
      </c>
      <c r="D70" s="262" t="s">
        <v>699</v>
      </c>
    </row>
    <row r="71" spans="1:4" x14ac:dyDescent="0.3">
      <c r="A71" s="70" t="s">
        <v>715</v>
      </c>
      <c r="C71" s="219"/>
      <c r="D71" s="220"/>
    </row>
    <row r="72" spans="1:4" x14ac:dyDescent="0.3">
      <c r="A72" s="85" t="s">
        <v>716</v>
      </c>
    </row>
  </sheetData>
  <mergeCells count="8">
    <mergeCell ref="C14:C15"/>
    <mergeCell ref="A17:B17"/>
    <mergeCell ref="A1:A5"/>
    <mergeCell ref="J5:M5"/>
    <mergeCell ref="A6:B6"/>
    <mergeCell ref="J6:K6"/>
    <mergeCell ref="L6:M6"/>
    <mergeCell ref="C11:C12"/>
  </mergeCells>
  <pageMargins left="0.511811024" right="0.511811024" top="0.78740157499999996" bottom="0.86250000000000004" header="0.31496062000000002" footer="0.31496062000000002"/>
  <pageSetup paperSize="9" scale="69" fitToWidth="0" fitToHeight="0" orientation="portrait" r:id="rId1"/>
  <headerFooter>
    <oddFooter>&amp;RPrefeitura Municipal de Colatina
Travessa Avelino Guerra, 111, Sagrado Coração de Jesus
Telefone: (27) 3177-7000 | https://colatina.es.gov.br/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M18"/>
  <sheetViews>
    <sheetView view="pageBreakPreview" zoomScaleNormal="100" zoomScaleSheetLayoutView="100" workbookViewId="0">
      <selection activeCell="L26" sqref="L26"/>
    </sheetView>
  </sheetViews>
  <sheetFormatPr defaultColWidth="8.88671875" defaultRowHeight="15.6" x14ac:dyDescent="0.3"/>
  <cols>
    <col min="1" max="1" width="12.6640625" style="30" customWidth="1"/>
    <col min="2" max="2" width="78.88671875" style="30" customWidth="1"/>
    <col min="3" max="3" width="6.6640625" style="30" bestFit="1" customWidth="1"/>
    <col min="4" max="4" width="4.88671875" style="30" bestFit="1" customWidth="1"/>
    <col min="5" max="5" width="10.5546875" style="30" bestFit="1" customWidth="1"/>
    <col min="6" max="6" width="13.33203125" style="30" bestFit="1" customWidth="1"/>
    <col min="7" max="7" width="11.109375" style="30" bestFit="1" customWidth="1"/>
    <col min="8" max="9" width="13.33203125" style="30" bestFit="1" customWidth="1"/>
    <col min="10" max="10" width="8.88671875" style="30"/>
    <col min="11" max="11" width="13.33203125" style="30" bestFit="1" customWidth="1"/>
    <col min="12" max="12" width="8.88671875" style="30"/>
    <col min="13" max="13" width="13.33203125" style="30" bestFit="1" customWidth="1"/>
    <col min="14" max="16384" width="8.88671875" style="30"/>
  </cols>
  <sheetData>
    <row r="1" spans="1:13" x14ac:dyDescent="0.3">
      <c r="A1" s="498"/>
      <c r="B1" s="50" t="str">
        <f>CPU_Serviços!$C$1</f>
        <v>Prefeitura Municipal de Colatina</v>
      </c>
      <c r="C1" s="50"/>
      <c r="D1" s="50"/>
      <c r="E1" s="179"/>
      <c r="F1" s="179"/>
      <c r="G1" s="179"/>
      <c r="H1" s="179"/>
      <c r="I1" s="179"/>
    </row>
    <row r="2" spans="1:13" x14ac:dyDescent="0.3">
      <c r="A2" s="498"/>
      <c r="B2" s="306" t="str">
        <f>CPU_Serviços!$C$2</f>
        <v>Secretaria Municipal de Habitação e Regularização Fundiária</v>
      </c>
      <c r="C2" s="306"/>
      <c r="D2" s="306"/>
      <c r="E2" s="180"/>
      <c r="F2" s="180"/>
      <c r="G2" s="180"/>
      <c r="H2" s="180"/>
      <c r="I2" s="180"/>
    </row>
    <row r="3" spans="1:13" ht="6.6" customHeight="1" x14ac:dyDescent="0.3">
      <c r="A3" s="498"/>
    </row>
    <row r="4" spans="1:13" x14ac:dyDescent="0.3">
      <c r="A4" s="498"/>
      <c r="B4" s="32" t="s">
        <v>735</v>
      </c>
      <c r="C4" s="295"/>
      <c r="D4" s="295"/>
      <c r="E4" s="295"/>
      <c r="F4" s="295"/>
      <c r="G4" s="295"/>
      <c r="H4" s="295"/>
      <c r="I4" s="295"/>
    </row>
    <row r="5" spans="1:13" x14ac:dyDescent="0.3">
      <c r="A5" s="498"/>
      <c r="B5" s="30" t="s">
        <v>243</v>
      </c>
      <c r="J5" s="471"/>
      <c r="K5" s="471"/>
      <c r="L5" s="471"/>
      <c r="M5" s="471"/>
    </row>
    <row r="6" spans="1:13" x14ac:dyDescent="0.3">
      <c r="A6" s="534" t="s">
        <v>244</v>
      </c>
      <c r="B6" s="534"/>
      <c r="C6" s="248" t="s">
        <v>245</v>
      </c>
      <c r="D6" s="248" t="s">
        <v>246</v>
      </c>
      <c r="E6" s="50" t="s">
        <v>444</v>
      </c>
      <c r="F6" s="50"/>
      <c r="G6" s="50"/>
      <c r="H6" s="50"/>
      <c r="I6" s="51"/>
      <c r="J6" s="471"/>
      <c r="K6" s="471"/>
      <c r="L6" s="471"/>
      <c r="M6" s="471"/>
    </row>
    <row r="7" spans="1:13" x14ac:dyDescent="0.3">
      <c r="A7" s="270" t="s">
        <v>58</v>
      </c>
      <c r="B7" s="270"/>
      <c r="C7" s="262"/>
      <c r="D7" s="262"/>
      <c r="E7" s="33"/>
      <c r="F7" s="33"/>
      <c r="G7" s="33"/>
      <c r="H7" s="33"/>
      <c r="I7" s="51"/>
      <c r="J7" s="45"/>
      <c r="K7" s="33"/>
      <c r="L7" s="45"/>
      <c r="M7" s="33"/>
    </row>
    <row r="8" spans="1:13" x14ac:dyDescent="0.3">
      <c r="A8" s="70" t="s">
        <v>247</v>
      </c>
      <c r="C8" s="552">
        <v>40</v>
      </c>
      <c r="D8" s="553" t="s">
        <v>66</v>
      </c>
      <c r="E8" s="68"/>
      <c r="F8" s="68"/>
      <c r="G8" s="68"/>
      <c r="H8" s="68"/>
      <c r="I8" s="69"/>
      <c r="J8" s="31"/>
      <c r="K8" s="34"/>
      <c r="L8" s="31"/>
      <c r="M8" s="34"/>
    </row>
    <row r="9" spans="1:13" x14ac:dyDescent="0.3">
      <c r="A9" s="70" t="s">
        <v>248</v>
      </c>
      <c r="C9" s="552"/>
      <c r="D9" s="553"/>
      <c r="E9" s="68">
        <f>C8</f>
        <v>40</v>
      </c>
      <c r="F9" s="68"/>
      <c r="G9" s="68"/>
      <c r="H9" s="68"/>
      <c r="I9" s="69"/>
      <c r="J9" s="31"/>
      <c r="K9" s="34"/>
      <c r="L9" s="31"/>
      <c r="M9" s="34"/>
    </row>
    <row r="10" spans="1:13" x14ac:dyDescent="0.3">
      <c r="A10" s="70" t="s">
        <v>456</v>
      </c>
      <c r="C10" s="552"/>
      <c r="D10" s="553"/>
      <c r="E10" s="68"/>
      <c r="F10" s="68"/>
      <c r="G10" s="68"/>
      <c r="H10" s="68"/>
      <c r="I10" s="69"/>
      <c r="J10" s="31"/>
      <c r="K10" s="34"/>
      <c r="L10" s="31"/>
      <c r="M10" s="34"/>
    </row>
    <row r="11" spans="1:13" x14ac:dyDescent="0.3">
      <c r="A11" s="70" t="s">
        <v>249</v>
      </c>
      <c r="C11" s="552"/>
      <c r="D11" s="553"/>
      <c r="E11" s="68"/>
      <c r="F11" s="68"/>
      <c r="G11" s="68"/>
      <c r="H11" s="68"/>
      <c r="I11" s="69"/>
      <c r="J11" s="31"/>
      <c r="K11" s="34"/>
      <c r="L11" s="31"/>
      <c r="M11" s="34"/>
    </row>
    <row r="12" spans="1:13" x14ac:dyDescent="0.3">
      <c r="A12" s="270" t="s">
        <v>30</v>
      </c>
      <c r="B12" s="270"/>
      <c r="C12" s="262"/>
      <c r="D12" s="262"/>
      <c r="E12" s="68"/>
      <c r="F12" s="68"/>
      <c r="G12" s="68"/>
      <c r="H12" s="68"/>
      <c r="I12" s="69"/>
      <c r="J12" s="31"/>
      <c r="K12" s="34"/>
      <c r="L12" s="31"/>
      <c r="M12" s="34"/>
    </row>
    <row r="13" spans="1:13" ht="51" customHeight="1" x14ac:dyDescent="0.3">
      <c r="A13" s="532" t="s">
        <v>250</v>
      </c>
      <c r="B13" s="532"/>
      <c r="C13" s="552">
        <v>40</v>
      </c>
      <c r="D13" s="553" t="s">
        <v>66</v>
      </c>
      <c r="E13" s="181">
        <f>C13</f>
        <v>40</v>
      </c>
    </row>
    <row r="14" spans="1:13" x14ac:dyDescent="0.3">
      <c r="A14" s="70" t="s">
        <v>249</v>
      </c>
      <c r="C14" s="552"/>
      <c r="D14" s="553"/>
    </row>
    <row r="15" spans="1:13" x14ac:dyDescent="0.3">
      <c r="A15" s="261" t="s">
        <v>251</v>
      </c>
      <c r="B15" s="271"/>
      <c r="C15" s="274"/>
      <c r="D15" s="275"/>
    </row>
    <row r="16" spans="1:13" x14ac:dyDescent="0.3">
      <c r="A16" s="70"/>
      <c r="C16" s="72">
        <v>16</v>
      </c>
      <c r="D16" s="71" t="s">
        <v>66</v>
      </c>
      <c r="E16" s="30">
        <f>C16/176</f>
        <v>9.0909090909090912E-2</v>
      </c>
    </row>
    <row r="17" spans="1:5" x14ac:dyDescent="0.3">
      <c r="A17" s="265" t="s">
        <v>252</v>
      </c>
      <c r="B17" s="271"/>
      <c r="C17" s="271"/>
      <c r="D17" s="271"/>
    </row>
    <row r="18" spans="1:5" x14ac:dyDescent="0.3">
      <c r="A18" s="30" t="s">
        <v>253</v>
      </c>
      <c r="C18" s="47">
        <v>16</v>
      </c>
      <c r="D18" s="29" t="s">
        <v>66</v>
      </c>
      <c r="E18" s="30">
        <f>C18/176</f>
        <v>9.0909090909090912E-2</v>
      </c>
    </row>
  </sheetData>
  <mergeCells count="10">
    <mergeCell ref="J5:M5"/>
    <mergeCell ref="J6:K6"/>
    <mergeCell ref="L6:M6"/>
    <mergeCell ref="A6:B6"/>
    <mergeCell ref="A1:A5"/>
    <mergeCell ref="C8:C11"/>
    <mergeCell ref="D8:D11"/>
    <mergeCell ref="A13:B13"/>
    <mergeCell ref="C13:C14"/>
    <mergeCell ref="D13:D14"/>
  </mergeCells>
  <pageMargins left="0.511811024" right="0.511811024" top="0.78740157499999996" bottom="1.0427083333333333" header="0.31496062000000002" footer="0.31496062000000002"/>
  <pageSetup paperSize="9" scale="91" fitToHeight="0" orientation="portrait" r:id="rId1"/>
  <headerFooter>
    <oddFooter>&amp;RPrefeitura Municipal de Colatina
Travessa Avelino Guerra, 111, Sagrado Coração de Jesus
Telefone: (27) 3177-7000 | https://colatina.es.gov.br/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368"/>
  <sheetViews>
    <sheetView view="pageBreakPreview" zoomScaleNormal="85" zoomScaleSheetLayoutView="100" workbookViewId="0">
      <selection activeCell="H340" sqref="H340:H342"/>
    </sheetView>
  </sheetViews>
  <sheetFormatPr defaultColWidth="10.6640625" defaultRowHeight="15" customHeight="1" x14ac:dyDescent="0.25"/>
  <cols>
    <col min="1" max="1" width="8.33203125" style="101" customWidth="1"/>
    <col min="2" max="2" width="68" style="101" customWidth="1"/>
    <col min="3" max="3" width="9.5546875" style="101" customWidth="1"/>
    <col min="4" max="4" width="10" style="102" customWidth="1"/>
    <col min="5" max="5" width="10.109375" style="101" bestFit="1" customWidth="1"/>
    <col min="6" max="6" width="9.33203125" style="101" customWidth="1"/>
    <col min="7" max="7" width="10.6640625" style="11"/>
    <col min="8" max="8" width="15.33203125" style="11" customWidth="1"/>
    <col min="9" max="16384" width="10.6640625" style="11"/>
  </cols>
  <sheetData>
    <row r="1" spans="1:8" s="1" customFormat="1" ht="15" customHeight="1" x14ac:dyDescent="0.25">
      <c r="A1" s="356" t="s">
        <v>422</v>
      </c>
      <c r="B1" s="356"/>
      <c r="C1" s="356"/>
      <c r="D1" s="356"/>
      <c r="E1" s="356"/>
      <c r="F1" s="356"/>
      <c r="H1" s="361"/>
    </row>
    <row r="2" spans="1:8" s="1" customFormat="1" ht="15" customHeight="1" x14ac:dyDescent="0.25">
      <c r="A2" s="357" t="s">
        <v>733</v>
      </c>
      <c r="B2" s="357"/>
      <c r="C2" s="357"/>
      <c r="D2" s="357"/>
      <c r="E2" s="229"/>
      <c r="F2" s="163"/>
      <c r="H2" s="361"/>
    </row>
    <row r="3" spans="1:8" s="1" customFormat="1" ht="15" customHeight="1" x14ac:dyDescent="0.25">
      <c r="A3" s="77" t="s">
        <v>846</v>
      </c>
      <c r="B3" s="77"/>
      <c r="C3" s="227"/>
      <c r="D3" s="372">
        <f ca="1">TODAY()</f>
        <v>46013</v>
      </c>
      <c r="E3" s="372"/>
      <c r="F3" s="372"/>
      <c r="H3" s="98"/>
    </row>
    <row r="4" spans="1:8" s="176" customFormat="1" ht="15" customHeight="1" x14ac:dyDescent="0.25">
      <c r="A4" s="234" t="s">
        <v>320</v>
      </c>
      <c r="B4" s="234" t="s">
        <v>321</v>
      </c>
      <c r="C4" s="235" t="s">
        <v>245</v>
      </c>
      <c r="D4" s="236" t="s">
        <v>423</v>
      </c>
      <c r="E4" s="235" t="s">
        <v>424</v>
      </c>
      <c r="F4" s="235" t="s">
        <v>425</v>
      </c>
      <c r="H4" s="176" t="s">
        <v>747</v>
      </c>
    </row>
    <row r="5" spans="1:8" s="4" customFormat="1" ht="15" customHeight="1" x14ac:dyDescent="0.25">
      <c r="A5" s="286" t="s">
        <v>23</v>
      </c>
      <c r="B5" s="287" t="str">
        <f>'Planilha Orçamentária'!D6</f>
        <v>Auto de Demarcação Urbanística</v>
      </c>
      <c r="C5" s="288"/>
      <c r="D5" s="289"/>
      <c r="E5" s="288"/>
      <c r="F5" s="290"/>
    </row>
    <row r="6" spans="1:8" ht="13.8" x14ac:dyDescent="0.3">
      <c r="A6" s="168"/>
      <c r="B6" s="166" t="s">
        <v>779</v>
      </c>
      <c r="C6" s="184">
        <v>1</v>
      </c>
      <c r="D6" s="167"/>
      <c r="E6" s="101">
        <f>C6</f>
        <v>1</v>
      </c>
      <c r="F6" s="169"/>
      <c r="H6" s="300">
        <f>E6/$E$42</f>
        <v>2.7777777777777776E-2</v>
      </c>
    </row>
    <row r="7" spans="1:8" ht="13.8" x14ac:dyDescent="0.3">
      <c r="A7" s="168"/>
      <c r="B7" s="166" t="s">
        <v>782</v>
      </c>
      <c r="C7" s="184">
        <v>1</v>
      </c>
      <c r="D7" s="167"/>
      <c r="E7" s="101">
        <f t="shared" ref="E7:E41" si="0">C7</f>
        <v>1</v>
      </c>
      <c r="F7" s="169"/>
      <c r="H7" s="300">
        <f t="shared" ref="H7:H41" si="1">E7/$E$42</f>
        <v>2.7777777777777776E-2</v>
      </c>
    </row>
    <row r="8" spans="1:8" ht="13.8" x14ac:dyDescent="0.3">
      <c r="A8" s="168"/>
      <c r="B8" s="166" t="s">
        <v>783</v>
      </c>
      <c r="C8" s="184">
        <v>1</v>
      </c>
      <c r="D8" s="167"/>
      <c r="E8" s="101">
        <f t="shared" si="0"/>
        <v>1</v>
      </c>
      <c r="F8" s="169"/>
      <c r="H8" s="300">
        <f t="shared" si="1"/>
        <v>2.7777777777777776E-2</v>
      </c>
    </row>
    <row r="9" spans="1:8" ht="13.8" x14ac:dyDescent="0.3">
      <c r="A9" s="168"/>
      <c r="B9" s="166" t="s">
        <v>784</v>
      </c>
      <c r="C9" s="184">
        <v>1</v>
      </c>
      <c r="D9" s="167"/>
      <c r="E9" s="101">
        <f t="shared" si="0"/>
        <v>1</v>
      </c>
      <c r="F9" s="169"/>
      <c r="H9" s="300">
        <f t="shared" si="1"/>
        <v>2.7777777777777776E-2</v>
      </c>
    </row>
    <row r="10" spans="1:8" ht="13.8" x14ac:dyDescent="0.3">
      <c r="A10" s="168"/>
      <c r="B10" s="166" t="s">
        <v>785</v>
      </c>
      <c r="C10" s="184">
        <v>1</v>
      </c>
      <c r="D10" s="167"/>
      <c r="E10" s="101">
        <f t="shared" si="0"/>
        <v>1</v>
      </c>
      <c r="F10" s="169"/>
      <c r="H10" s="300">
        <f t="shared" si="1"/>
        <v>2.7777777777777776E-2</v>
      </c>
    </row>
    <row r="11" spans="1:8" ht="13.8" x14ac:dyDescent="0.3">
      <c r="A11" s="168"/>
      <c r="B11" s="166" t="s">
        <v>786</v>
      </c>
      <c r="C11" s="184">
        <v>1</v>
      </c>
      <c r="D11" s="167"/>
      <c r="E11" s="101">
        <f t="shared" si="0"/>
        <v>1</v>
      </c>
      <c r="F11" s="169"/>
      <c r="H11" s="300">
        <f t="shared" si="1"/>
        <v>2.7777777777777776E-2</v>
      </c>
    </row>
    <row r="12" spans="1:8" ht="13.8" x14ac:dyDescent="0.3">
      <c r="A12" s="168"/>
      <c r="B12" s="166" t="s">
        <v>787</v>
      </c>
      <c r="C12" s="184">
        <v>1</v>
      </c>
      <c r="D12" s="167"/>
      <c r="E12" s="101">
        <f t="shared" si="0"/>
        <v>1</v>
      </c>
      <c r="F12" s="169"/>
      <c r="H12" s="300">
        <f t="shared" si="1"/>
        <v>2.7777777777777776E-2</v>
      </c>
    </row>
    <row r="13" spans="1:8" ht="13.8" x14ac:dyDescent="0.3">
      <c r="A13" s="168"/>
      <c r="B13" s="166" t="s">
        <v>788</v>
      </c>
      <c r="C13" s="184">
        <v>1</v>
      </c>
      <c r="D13" s="167"/>
      <c r="E13" s="101">
        <f t="shared" si="0"/>
        <v>1</v>
      </c>
      <c r="F13" s="169"/>
      <c r="H13" s="300">
        <f t="shared" si="1"/>
        <v>2.7777777777777776E-2</v>
      </c>
    </row>
    <row r="14" spans="1:8" ht="13.8" x14ac:dyDescent="0.3">
      <c r="A14" s="168"/>
      <c r="B14" s="166" t="s">
        <v>789</v>
      </c>
      <c r="C14" s="184">
        <v>1</v>
      </c>
      <c r="D14" s="167"/>
      <c r="E14" s="101">
        <f t="shared" si="0"/>
        <v>1</v>
      </c>
      <c r="F14" s="169"/>
      <c r="H14" s="300">
        <f t="shared" si="1"/>
        <v>2.7777777777777776E-2</v>
      </c>
    </row>
    <row r="15" spans="1:8" ht="13.8" x14ac:dyDescent="0.3">
      <c r="A15" s="168"/>
      <c r="B15" s="166" t="s">
        <v>790</v>
      </c>
      <c r="C15" s="184">
        <v>1</v>
      </c>
      <c r="D15" s="167"/>
      <c r="E15" s="101">
        <f t="shared" si="0"/>
        <v>1</v>
      </c>
      <c r="F15" s="169"/>
      <c r="H15" s="300">
        <f t="shared" si="1"/>
        <v>2.7777777777777776E-2</v>
      </c>
    </row>
    <row r="16" spans="1:8" ht="13.8" x14ac:dyDescent="0.3">
      <c r="A16" s="168"/>
      <c r="B16" s="166" t="s">
        <v>791</v>
      </c>
      <c r="C16" s="184">
        <v>1</v>
      </c>
      <c r="D16" s="167"/>
      <c r="E16" s="101">
        <f t="shared" si="0"/>
        <v>1</v>
      </c>
      <c r="F16" s="169"/>
      <c r="H16" s="300">
        <f t="shared" si="1"/>
        <v>2.7777777777777776E-2</v>
      </c>
    </row>
    <row r="17" spans="1:8" ht="13.8" x14ac:dyDescent="0.3">
      <c r="A17" s="168"/>
      <c r="B17" s="166" t="s">
        <v>792</v>
      </c>
      <c r="C17" s="184">
        <v>1</v>
      </c>
      <c r="D17" s="167"/>
      <c r="E17" s="101">
        <f t="shared" si="0"/>
        <v>1</v>
      </c>
      <c r="F17" s="169"/>
      <c r="H17" s="300">
        <f t="shared" si="1"/>
        <v>2.7777777777777776E-2</v>
      </c>
    </row>
    <row r="18" spans="1:8" ht="13.8" x14ac:dyDescent="0.3">
      <c r="A18" s="168"/>
      <c r="B18" s="166" t="s">
        <v>793</v>
      </c>
      <c r="C18" s="184">
        <v>1</v>
      </c>
      <c r="D18" s="167"/>
      <c r="E18" s="101">
        <f t="shared" si="0"/>
        <v>1</v>
      </c>
      <c r="F18" s="169"/>
      <c r="H18" s="300">
        <f t="shared" si="1"/>
        <v>2.7777777777777776E-2</v>
      </c>
    </row>
    <row r="19" spans="1:8" ht="13.8" x14ac:dyDescent="0.3">
      <c r="A19" s="168"/>
      <c r="B19" s="166" t="s">
        <v>794</v>
      </c>
      <c r="C19" s="184">
        <v>1</v>
      </c>
      <c r="D19" s="167"/>
      <c r="E19" s="101">
        <f t="shared" si="0"/>
        <v>1</v>
      </c>
      <c r="F19" s="169"/>
      <c r="H19" s="300">
        <f t="shared" si="1"/>
        <v>2.7777777777777776E-2</v>
      </c>
    </row>
    <row r="20" spans="1:8" ht="13.8" x14ac:dyDescent="0.3">
      <c r="A20" s="168"/>
      <c r="B20" s="166" t="s">
        <v>795</v>
      </c>
      <c r="C20" s="184">
        <v>1</v>
      </c>
      <c r="D20" s="167"/>
      <c r="E20" s="101">
        <f t="shared" si="0"/>
        <v>1</v>
      </c>
      <c r="F20" s="169"/>
      <c r="H20" s="300">
        <f t="shared" si="1"/>
        <v>2.7777777777777776E-2</v>
      </c>
    </row>
    <row r="21" spans="1:8" ht="13.8" x14ac:dyDescent="0.3">
      <c r="A21" s="168"/>
      <c r="B21" s="166" t="s">
        <v>796</v>
      </c>
      <c r="C21" s="184">
        <v>1</v>
      </c>
      <c r="D21" s="167"/>
      <c r="E21" s="101">
        <f t="shared" si="0"/>
        <v>1</v>
      </c>
      <c r="F21" s="169"/>
      <c r="H21" s="300">
        <f t="shared" si="1"/>
        <v>2.7777777777777776E-2</v>
      </c>
    </row>
    <row r="22" spans="1:8" ht="13.8" x14ac:dyDescent="0.3">
      <c r="A22" s="168"/>
      <c r="B22" s="166" t="s">
        <v>797</v>
      </c>
      <c r="C22" s="184">
        <v>1</v>
      </c>
      <c r="D22" s="167"/>
      <c r="E22" s="101">
        <f t="shared" si="0"/>
        <v>1</v>
      </c>
      <c r="F22" s="169"/>
      <c r="H22" s="300">
        <f t="shared" si="1"/>
        <v>2.7777777777777776E-2</v>
      </c>
    </row>
    <row r="23" spans="1:8" ht="13.8" x14ac:dyDescent="0.3">
      <c r="A23" s="168"/>
      <c r="B23" s="166" t="s">
        <v>798</v>
      </c>
      <c r="C23" s="184">
        <v>1</v>
      </c>
      <c r="D23" s="167"/>
      <c r="E23" s="101">
        <f t="shared" si="0"/>
        <v>1</v>
      </c>
      <c r="F23" s="169"/>
      <c r="H23" s="300">
        <f t="shared" si="1"/>
        <v>2.7777777777777776E-2</v>
      </c>
    </row>
    <row r="24" spans="1:8" ht="13.8" x14ac:dyDescent="0.3">
      <c r="A24" s="168"/>
      <c r="B24" s="166" t="s">
        <v>799</v>
      </c>
      <c r="C24" s="184">
        <v>1</v>
      </c>
      <c r="D24" s="167"/>
      <c r="E24" s="101">
        <f t="shared" si="0"/>
        <v>1</v>
      </c>
      <c r="F24" s="169"/>
      <c r="H24" s="300">
        <f t="shared" si="1"/>
        <v>2.7777777777777776E-2</v>
      </c>
    </row>
    <row r="25" spans="1:8" ht="13.8" x14ac:dyDescent="0.3">
      <c r="A25" s="168"/>
      <c r="B25" s="166" t="s">
        <v>800</v>
      </c>
      <c r="C25" s="184">
        <v>1</v>
      </c>
      <c r="D25" s="167"/>
      <c r="E25" s="101">
        <f t="shared" si="0"/>
        <v>1</v>
      </c>
      <c r="F25" s="169"/>
      <c r="H25" s="300">
        <f t="shared" si="1"/>
        <v>2.7777777777777776E-2</v>
      </c>
    </row>
    <row r="26" spans="1:8" ht="13.8" x14ac:dyDescent="0.3">
      <c r="A26" s="168"/>
      <c r="B26" s="166" t="s">
        <v>801</v>
      </c>
      <c r="C26" s="184">
        <v>1</v>
      </c>
      <c r="D26" s="167"/>
      <c r="E26" s="101">
        <f t="shared" si="0"/>
        <v>1</v>
      </c>
      <c r="F26" s="169"/>
      <c r="H26" s="300">
        <f t="shared" si="1"/>
        <v>2.7777777777777776E-2</v>
      </c>
    </row>
    <row r="27" spans="1:8" ht="13.8" x14ac:dyDescent="0.3">
      <c r="A27" s="168"/>
      <c r="B27" s="166" t="s">
        <v>802</v>
      </c>
      <c r="C27" s="184">
        <v>1</v>
      </c>
      <c r="D27" s="167"/>
      <c r="E27" s="101">
        <f t="shared" si="0"/>
        <v>1</v>
      </c>
      <c r="F27" s="169"/>
      <c r="H27" s="300">
        <f t="shared" si="1"/>
        <v>2.7777777777777776E-2</v>
      </c>
    </row>
    <row r="28" spans="1:8" ht="13.8" x14ac:dyDescent="0.3">
      <c r="A28" s="168"/>
      <c r="B28" s="166" t="s">
        <v>803</v>
      </c>
      <c r="C28" s="184">
        <v>1</v>
      </c>
      <c r="D28" s="167"/>
      <c r="E28" s="101">
        <f t="shared" si="0"/>
        <v>1</v>
      </c>
      <c r="F28" s="169"/>
      <c r="H28" s="300">
        <f t="shared" si="1"/>
        <v>2.7777777777777776E-2</v>
      </c>
    </row>
    <row r="29" spans="1:8" ht="13.8" x14ac:dyDescent="0.3">
      <c r="A29" s="168"/>
      <c r="B29" s="166" t="s">
        <v>804</v>
      </c>
      <c r="C29" s="184">
        <v>1</v>
      </c>
      <c r="D29" s="167"/>
      <c r="E29" s="101">
        <f t="shared" si="0"/>
        <v>1</v>
      </c>
      <c r="F29" s="169"/>
      <c r="H29" s="300">
        <f t="shared" si="1"/>
        <v>2.7777777777777776E-2</v>
      </c>
    </row>
    <row r="30" spans="1:8" ht="13.8" x14ac:dyDescent="0.3">
      <c r="A30" s="168"/>
      <c r="B30" s="166" t="s">
        <v>805</v>
      </c>
      <c r="C30" s="184">
        <v>1</v>
      </c>
      <c r="D30" s="167"/>
      <c r="E30" s="101">
        <f t="shared" si="0"/>
        <v>1</v>
      </c>
      <c r="F30" s="169"/>
      <c r="H30" s="300">
        <f t="shared" si="1"/>
        <v>2.7777777777777776E-2</v>
      </c>
    </row>
    <row r="31" spans="1:8" ht="13.8" x14ac:dyDescent="0.3">
      <c r="A31" s="168"/>
      <c r="B31" s="166" t="s">
        <v>806</v>
      </c>
      <c r="C31" s="184">
        <v>1</v>
      </c>
      <c r="D31" s="167"/>
      <c r="E31" s="101">
        <f t="shared" si="0"/>
        <v>1</v>
      </c>
      <c r="F31" s="169"/>
      <c r="H31" s="300">
        <f t="shared" si="1"/>
        <v>2.7777777777777776E-2</v>
      </c>
    </row>
    <row r="32" spans="1:8" ht="13.8" x14ac:dyDescent="0.3">
      <c r="A32" s="168"/>
      <c r="B32" s="166" t="s">
        <v>807</v>
      </c>
      <c r="C32" s="184">
        <v>1</v>
      </c>
      <c r="D32" s="167"/>
      <c r="E32" s="101">
        <f t="shared" si="0"/>
        <v>1</v>
      </c>
      <c r="F32" s="169"/>
      <c r="H32" s="300">
        <f t="shared" si="1"/>
        <v>2.7777777777777776E-2</v>
      </c>
    </row>
    <row r="33" spans="1:8" ht="13.8" x14ac:dyDescent="0.3">
      <c r="A33" s="168"/>
      <c r="B33" s="166" t="s">
        <v>808</v>
      </c>
      <c r="C33" s="184">
        <v>1</v>
      </c>
      <c r="D33" s="167"/>
      <c r="E33" s="101">
        <f t="shared" si="0"/>
        <v>1</v>
      </c>
      <c r="F33" s="169"/>
      <c r="H33" s="300">
        <f t="shared" si="1"/>
        <v>2.7777777777777776E-2</v>
      </c>
    </row>
    <row r="34" spans="1:8" ht="13.8" x14ac:dyDescent="0.3">
      <c r="A34" s="168"/>
      <c r="B34" s="166" t="s">
        <v>809</v>
      </c>
      <c r="C34" s="184">
        <v>1</v>
      </c>
      <c r="D34" s="167"/>
      <c r="E34" s="101">
        <f t="shared" si="0"/>
        <v>1</v>
      </c>
      <c r="F34" s="169"/>
      <c r="H34" s="300">
        <f t="shared" si="1"/>
        <v>2.7777777777777776E-2</v>
      </c>
    </row>
    <row r="35" spans="1:8" ht="13.8" x14ac:dyDescent="0.3">
      <c r="A35" s="168"/>
      <c r="B35" s="166" t="s">
        <v>810</v>
      </c>
      <c r="C35" s="184">
        <v>1</v>
      </c>
      <c r="D35" s="167"/>
      <c r="E35" s="101">
        <f t="shared" si="0"/>
        <v>1</v>
      </c>
      <c r="F35" s="169"/>
      <c r="H35" s="300">
        <f t="shared" si="1"/>
        <v>2.7777777777777776E-2</v>
      </c>
    </row>
    <row r="36" spans="1:8" ht="13.8" x14ac:dyDescent="0.3">
      <c r="A36" s="168"/>
      <c r="B36" s="166" t="s">
        <v>811</v>
      </c>
      <c r="C36" s="184">
        <v>1</v>
      </c>
      <c r="D36" s="167"/>
      <c r="E36" s="101">
        <f t="shared" si="0"/>
        <v>1</v>
      </c>
      <c r="F36" s="169"/>
      <c r="H36" s="300">
        <f t="shared" si="1"/>
        <v>2.7777777777777776E-2</v>
      </c>
    </row>
    <row r="37" spans="1:8" ht="13.8" x14ac:dyDescent="0.3">
      <c r="A37" s="168"/>
      <c r="B37" s="166" t="s">
        <v>812</v>
      </c>
      <c r="C37" s="184">
        <v>1</v>
      </c>
      <c r="D37" s="167"/>
      <c r="E37" s="101">
        <f t="shared" si="0"/>
        <v>1</v>
      </c>
      <c r="F37" s="169"/>
      <c r="H37" s="300">
        <f t="shared" si="1"/>
        <v>2.7777777777777776E-2</v>
      </c>
    </row>
    <row r="38" spans="1:8" ht="13.8" x14ac:dyDescent="0.3">
      <c r="A38" s="168"/>
      <c r="B38" s="166" t="s">
        <v>813</v>
      </c>
      <c r="C38" s="184">
        <v>1</v>
      </c>
      <c r="D38" s="167"/>
      <c r="E38" s="101">
        <f t="shared" si="0"/>
        <v>1</v>
      </c>
      <c r="F38" s="169"/>
      <c r="H38" s="300">
        <f t="shared" si="1"/>
        <v>2.7777777777777776E-2</v>
      </c>
    </row>
    <row r="39" spans="1:8" ht="13.8" x14ac:dyDescent="0.3">
      <c r="A39" s="168"/>
      <c r="B39" s="166" t="s">
        <v>814</v>
      </c>
      <c r="C39" s="184">
        <v>1</v>
      </c>
      <c r="D39" s="167"/>
      <c r="E39" s="101">
        <f t="shared" si="0"/>
        <v>1</v>
      </c>
      <c r="F39" s="169"/>
      <c r="H39" s="300">
        <f t="shared" si="1"/>
        <v>2.7777777777777776E-2</v>
      </c>
    </row>
    <row r="40" spans="1:8" ht="13.8" x14ac:dyDescent="0.3">
      <c r="A40" s="168"/>
      <c r="B40" s="166" t="s">
        <v>815</v>
      </c>
      <c r="C40" s="184">
        <v>1</v>
      </c>
      <c r="D40" s="167"/>
      <c r="E40" s="101">
        <f t="shared" si="0"/>
        <v>1</v>
      </c>
      <c r="F40" s="169"/>
      <c r="H40" s="300">
        <f t="shared" si="1"/>
        <v>2.7777777777777776E-2</v>
      </c>
    </row>
    <row r="41" spans="1:8" ht="13.8" x14ac:dyDescent="0.3">
      <c r="A41" s="168"/>
      <c r="B41" s="166" t="s">
        <v>816</v>
      </c>
      <c r="C41" s="184">
        <v>1</v>
      </c>
      <c r="D41" s="167"/>
      <c r="E41" s="101">
        <f t="shared" si="0"/>
        <v>1</v>
      </c>
      <c r="F41" s="169"/>
      <c r="H41" s="300">
        <f t="shared" si="1"/>
        <v>2.7777777777777776E-2</v>
      </c>
    </row>
    <row r="42" spans="1:8" ht="13.8" x14ac:dyDescent="0.3">
      <c r="A42" s="170"/>
      <c r="B42" s="171" t="s">
        <v>10</v>
      </c>
      <c r="C42" s="228"/>
      <c r="D42" s="172"/>
      <c r="E42" s="174">
        <f>SUM(E6:E41)</f>
        <v>36</v>
      </c>
      <c r="F42" s="173" t="s">
        <v>5</v>
      </c>
    </row>
    <row r="43" spans="1:8" ht="7.2" customHeight="1" x14ac:dyDescent="0.25">
      <c r="A43" s="369"/>
      <c r="B43" s="370"/>
      <c r="C43" s="370"/>
      <c r="D43" s="370"/>
      <c r="E43" s="370"/>
      <c r="F43" s="371"/>
    </row>
    <row r="44" spans="1:8" ht="13.8" x14ac:dyDescent="0.25">
      <c r="A44" s="286" t="s">
        <v>22</v>
      </c>
      <c r="B44" s="287" t="str">
        <f>'Planilha Orçamentária'!D7</f>
        <v>Mobilização Comunitária Inicial</v>
      </c>
      <c r="C44" s="288"/>
      <c r="D44" s="289"/>
      <c r="E44" s="288"/>
      <c r="F44" s="290"/>
    </row>
    <row r="45" spans="1:8" ht="13.8" x14ac:dyDescent="0.3">
      <c r="A45" s="168"/>
      <c r="B45" s="166" t="s">
        <v>779</v>
      </c>
      <c r="C45" s="184">
        <v>1</v>
      </c>
      <c r="D45" s="167"/>
      <c r="E45" s="101">
        <f>C45</f>
        <v>1</v>
      </c>
      <c r="F45" s="169"/>
      <c r="H45" s="300">
        <f>E45/$E$81</f>
        <v>2.7777777777777776E-2</v>
      </c>
    </row>
    <row r="46" spans="1:8" ht="13.8" x14ac:dyDescent="0.3">
      <c r="A46" s="168"/>
      <c r="B46" s="166" t="s">
        <v>782</v>
      </c>
      <c r="C46" s="184">
        <v>1</v>
      </c>
      <c r="D46" s="167"/>
      <c r="E46" s="101">
        <f t="shared" ref="E46:E80" si="2">C46</f>
        <v>1</v>
      </c>
      <c r="F46" s="169"/>
      <c r="H46" s="300">
        <f t="shared" ref="H46:H80" si="3">E46/$E$81</f>
        <v>2.7777777777777776E-2</v>
      </c>
    </row>
    <row r="47" spans="1:8" ht="13.8" x14ac:dyDescent="0.3">
      <c r="A47" s="168"/>
      <c r="B47" s="166" t="s">
        <v>783</v>
      </c>
      <c r="C47" s="184">
        <v>1</v>
      </c>
      <c r="D47" s="167"/>
      <c r="E47" s="101">
        <f t="shared" si="2"/>
        <v>1</v>
      </c>
      <c r="F47" s="169"/>
      <c r="H47" s="300">
        <f t="shared" si="3"/>
        <v>2.7777777777777776E-2</v>
      </c>
    </row>
    <row r="48" spans="1:8" ht="13.8" x14ac:dyDescent="0.3">
      <c r="A48" s="168"/>
      <c r="B48" s="166" t="s">
        <v>784</v>
      </c>
      <c r="C48" s="184">
        <v>1</v>
      </c>
      <c r="D48" s="167"/>
      <c r="E48" s="101">
        <f t="shared" si="2"/>
        <v>1</v>
      </c>
      <c r="F48" s="169"/>
      <c r="H48" s="300">
        <f t="shared" si="3"/>
        <v>2.7777777777777776E-2</v>
      </c>
    </row>
    <row r="49" spans="1:8" ht="13.8" x14ac:dyDescent="0.3">
      <c r="A49" s="168"/>
      <c r="B49" s="166" t="s">
        <v>785</v>
      </c>
      <c r="C49" s="184">
        <v>1</v>
      </c>
      <c r="D49" s="167"/>
      <c r="E49" s="101">
        <f t="shared" si="2"/>
        <v>1</v>
      </c>
      <c r="F49" s="169"/>
      <c r="H49" s="300">
        <f t="shared" si="3"/>
        <v>2.7777777777777776E-2</v>
      </c>
    </row>
    <row r="50" spans="1:8" ht="13.8" x14ac:dyDescent="0.3">
      <c r="A50" s="168"/>
      <c r="B50" s="166" t="s">
        <v>786</v>
      </c>
      <c r="C50" s="184">
        <v>1</v>
      </c>
      <c r="D50" s="167"/>
      <c r="E50" s="101">
        <f t="shared" si="2"/>
        <v>1</v>
      </c>
      <c r="F50" s="169"/>
      <c r="H50" s="300">
        <f t="shared" si="3"/>
        <v>2.7777777777777776E-2</v>
      </c>
    </row>
    <row r="51" spans="1:8" ht="13.8" x14ac:dyDescent="0.3">
      <c r="A51" s="168"/>
      <c r="B51" s="166" t="s">
        <v>787</v>
      </c>
      <c r="C51" s="184">
        <v>1</v>
      </c>
      <c r="D51" s="167"/>
      <c r="E51" s="101">
        <f t="shared" si="2"/>
        <v>1</v>
      </c>
      <c r="F51" s="169"/>
      <c r="H51" s="300">
        <f t="shared" si="3"/>
        <v>2.7777777777777776E-2</v>
      </c>
    </row>
    <row r="52" spans="1:8" ht="13.8" x14ac:dyDescent="0.3">
      <c r="A52" s="168"/>
      <c r="B52" s="166" t="s">
        <v>788</v>
      </c>
      <c r="C52" s="184">
        <v>1</v>
      </c>
      <c r="D52" s="167"/>
      <c r="E52" s="101">
        <f t="shared" si="2"/>
        <v>1</v>
      </c>
      <c r="F52" s="169"/>
      <c r="H52" s="300">
        <f t="shared" si="3"/>
        <v>2.7777777777777776E-2</v>
      </c>
    </row>
    <row r="53" spans="1:8" ht="13.8" x14ac:dyDescent="0.3">
      <c r="A53" s="168"/>
      <c r="B53" s="166" t="s">
        <v>789</v>
      </c>
      <c r="C53" s="184">
        <v>1</v>
      </c>
      <c r="D53" s="167"/>
      <c r="E53" s="101">
        <f t="shared" si="2"/>
        <v>1</v>
      </c>
      <c r="F53" s="169"/>
      <c r="H53" s="300">
        <f t="shared" si="3"/>
        <v>2.7777777777777776E-2</v>
      </c>
    </row>
    <row r="54" spans="1:8" ht="13.8" x14ac:dyDescent="0.3">
      <c r="A54" s="168"/>
      <c r="B54" s="166" t="s">
        <v>790</v>
      </c>
      <c r="C54" s="184">
        <v>1</v>
      </c>
      <c r="D54" s="167"/>
      <c r="E54" s="101">
        <f t="shared" si="2"/>
        <v>1</v>
      </c>
      <c r="F54" s="169"/>
      <c r="H54" s="300">
        <f t="shared" si="3"/>
        <v>2.7777777777777776E-2</v>
      </c>
    </row>
    <row r="55" spans="1:8" ht="13.8" x14ac:dyDescent="0.3">
      <c r="A55" s="168"/>
      <c r="B55" s="166" t="s">
        <v>791</v>
      </c>
      <c r="C55" s="184">
        <v>1</v>
      </c>
      <c r="D55" s="167"/>
      <c r="E55" s="101">
        <f t="shared" si="2"/>
        <v>1</v>
      </c>
      <c r="F55" s="169"/>
      <c r="H55" s="300">
        <f t="shared" si="3"/>
        <v>2.7777777777777776E-2</v>
      </c>
    </row>
    <row r="56" spans="1:8" ht="13.8" x14ac:dyDescent="0.3">
      <c r="A56" s="168"/>
      <c r="B56" s="166" t="s">
        <v>792</v>
      </c>
      <c r="C56" s="184">
        <v>1</v>
      </c>
      <c r="D56" s="167"/>
      <c r="E56" s="101">
        <f t="shared" si="2"/>
        <v>1</v>
      </c>
      <c r="F56" s="169"/>
      <c r="H56" s="300">
        <f t="shared" si="3"/>
        <v>2.7777777777777776E-2</v>
      </c>
    </row>
    <row r="57" spans="1:8" ht="13.8" x14ac:dyDescent="0.3">
      <c r="A57" s="168"/>
      <c r="B57" s="166" t="s">
        <v>793</v>
      </c>
      <c r="C57" s="184">
        <v>1</v>
      </c>
      <c r="D57" s="167"/>
      <c r="E57" s="101">
        <f t="shared" si="2"/>
        <v>1</v>
      </c>
      <c r="F57" s="169"/>
      <c r="H57" s="300">
        <f t="shared" si="3"/>
        <v>2.7777777777777776E-2</v>
      </c>
    </row>
    <row r="58" spans="1:8" ht="13.8" x14ac:dyDescent="0.3">
      <c r="A58" s="168"/>
      <c r="B58" s="166" t="s">
        <v>794</v>
      </c>
      <c r="C58" s="184">
        <v>1</v>
      </c>
      <c r="D58" s="167"/>
      <c r="E58" s="101">
        <f t="shared" si="2"/>
        <v>1</v>
      </c>
      <c r="F58" s="169"/>
      <c r="H58" s="300">
        <f t="shared" si="3"/>
        <v>2.7777777777777776E-2</v>
      </c>
    </row>
    <row r="59" spans="1:8" ht="13.8" x14ac:dyDescent="0.3">
      <c r="A59" s="168"/>
      <c r="B59" s="166" t="s">
        <v>795</v>
      </c>
      <c r="C59" s="184">
        <v>1</v>
      </c>
      <c r="D59" s="167"/>
      <c r="E59" s="101">
        <f t="shared" si="2"/>
        <v>1</v>
      </c>
      <c r="F59" s="169"/>
      <c r="H59" s="300">
        <f t="shared" si="3"/>
        <v>2.7777777777777776E-2</v>
      </c>
    </row>
    <row r="60" spans="1:8" ht="13.8" x14ac:dyDescent="0.3">
      <c r="A60" s="168"/>
      <c r="B60" s="166" t="s">
        <v>796</v>
      </c>
      <c r="C60" s="184">
        <v>1</v>
      </c>
      <c r="D60" s="167"/>
      <c r="E60" s="101">
        <f t="shared" si="2"/>
        <v>1</v>
      </c>
      <c r="F60" s="169"/>
      <c r="H60" s="300">
        <f t="shared" si="3"/>
        <v>2.7777777777777776E-2</v>
      </c>
    </row>
    <row r="61" spans="1:8" ht="13.8" x14ac:dyDescent="0.3">
      <c r="A61" s="168"/>
      <c r="B61" s="166" t="s">
        <v>797</v>
      </c>
      <c r="C61" s="184">
        <v>1</v>
      </c>
      <c r="D61" s="167"/>
      <c r="E61" s="101">
        <f t="shared" si="2"/>
        <v>1</v>
      </c>
      <c r="F61" s="169"/>
      <c r="H61" s="300">
        <f t="shared" si="3"/>
        <v>2.7777777777777776E-2</v>
      </c>
    </row>
    <row r="62" spans="1:8" ht="13.8" x14ac:dyDescent="0.3">
      <c r="A62" s="168"/>
      <c r="B62" s="166" t="s">
        <v>798</v>
      </c>
      <c r="C62" s="184">
        <v>1</v>
      </c>
      <c r="D62" s="167"/>
      <c r="E62" s="101">
        <f t="shared" si="2"/>
        <v>1</v>
      </c>
      <c r="F62" s="169"/>
      <c r="H62" s="300">
        <f t="shared" si="3"/>
        <v>2.7777777777777776E-2</v>
      </c>
    </row>
    <row r="63" spans="1:8" ht="13.8" x14ac:dyDescent="0.3">
      <c r="A63" s="168"/>
      <c r="B63" s="166" t="s">
        <v>799</v>
      </c>
      <c r="C63" s="184">
        <v>1</v>
      </c>
      <c r="D63" s="167"/>
      <c r="E63" s="101">
        <f t="shared" si="2"/>
        <v>1</v>
      </c>
      <c r="F63" s="169"/>
      <c r="H63" s="300">
        <f t="shared" si="3"/>
        <v>2.7777777777777776E-2</v>
      </c>
    </row>
    <row r="64" spans="1:8" ht="13.8" x14ac:dyDescent="0.3">
      <c r="A64" s="168"/>
      <c r="B64" s="166" t="s">
        <v>800</v>
      </c>
      <c r="C64" s="184">
        <v>1</v>
      </c>
      <c r="D64" s="167"/>
      <c r="E64" s="101">
        <f t="shared" si="2"/>
        <v>1</v>
      </c>
      <c r="F64" s="169"/>
      <c r="H64" s="300">
        <f t="shared" si="3"/>
        <v>2.7777777777777776E-2</v>
      </c>
    </row>
    <row r="65" spans="1:8" ht="13.8" x14ac:dyDescent="0.3">
      <c r="A65" s="168"/>
      <c r="B65" s="166" t="s">
        <v>801</v>
      </c>
      <c r="C65" s="184">
        <v>1</v>
      </c>
      <c r="D65" s="167"/>
      <c r="E65" s="101">
        <f t="shared" si="2"/>
        <v>1</v>
      </c>
      <c r="F65" s="169"/>
      <c r="H65" s="300">
        <f t="shared" si="3"/>
        <v>2.7777777777777776E-2</v>
      </c>
    </row>
    <row r="66" spans="1:8" ht="13.8" x14ac:dyDescent="0.3">
      <c r="A66" s="168"/>
      <c r="B66" s="166" t="s">
        <v>802</v>
      </c>
      <c r="C66" s="184">
        <v>1</v>
      </c>
      <c r="D66" s="167"/>
      <c r="E66" s="101">
        <f t="shared" si="2"/>
        <v>1</v>
      </c>
      <c r="F66" s="169"/>
      <c r="H66" s="300">
        <f t="shared" si="3"/>
        <v>2.7777777777777776E-2</v>
      </c>
    </row>
    <row r="67" spans="1:8" ht="13.8" x14ac:dyDescent="0.3">
      <c r="A67" s="168"/>
      <c r="B67" s="166" t="s">
        <v>803</v>
      </c>
      <c r="C67" s="184">
        <v>1</v>
      </c>
      <c r="D67" s="167"/>
      <c r="E67" s="101">
        <f t="shared" si="2"/>
        <v>1</v>
      </c>
      <c r="F67" s="169"/>
      <c r="H67" s="300">
        <f t="shared" si="3"/>
        <v>2.7777777777777776E-2</v>
      </c>
    </row>
    <row r="68" spans="1:8" ht="13.8" x14ac:dyDescent="0.3">
      <c r="A68" s="168"/>
      <c r="B68" s="166" t="s">
        <v>804</v>
      </c>
      <c r="C68" s="184">
        <v>1</v>
      </c>
      <c r="D68" s="167"/>
      <c r="E68" s="101">
        <f t="shared" si="2"/>
        <v>1</v>
      </c>
      <c r="F68" s="169"/>
      <c r="H68" s="300">
        <f t="shared" si="3"/>
        <v>2.7777777777777776E-2</v>
      </c>
    </row>
    <row r="69" spans="1:8" ht="13.8" x14ac:dyDescent="0.3">
      <c r="A69" s="168"/>
      <c r="B69" s="166" t="s">
        <v>805</v>
      </c>
      <c r="C69" s="184">
        <v>1</v>
      </c>
      <c r="D69" s="167"/>
      <c r="E69" s="101">
        <f t="shared" si="2"/>
        <v>1</v>
      </c>
      <c r="F69" s="169"/>
      <c r="H69" s="300">
        <f t="shared" si="3"/>
        <v>2.7777777777777776E-2</v>
      </c>
    </row>
    <row r="70" spans="1:8" ht="13.8" x14ac:dyDescent="0.3">
      <c r="A70" s="168"/>
      <c r="B70" s="166" t="s">
        <v>806</v>
      </c>
      <c r="C70" s="184">
        <v>1</v>
      </c>
      <c r="D70" s="167"/>
      <c r="E70" s="101">
        <f t="shared" si="2"/>
        <v>1</v>
      </c>
      <c r="F70" s="169"/>
      <c r="H70" s="300">
        <f t="shared" si="3"/>
        <v>2.7777777777777776E-2</v>
      </c>
    </row>
    <row r="71" spans="1:8" ht="13.8" x14ac:dyDescent="0.3">
      <c r="A71" s="168"/>
      <c r="B71" s="166" t="s">
        <v>807</v>
      </c>
      <c r="C71" s="184">
        <v>1</v>
      </c>
      <c r="D71" s="167"/>
      <c r="E71" s="101">
        <f t="shared" si="2"/>
        <v>1</v>
      </c>
      <c r="F71" s="169"/>
      <c r="H71" s="300">
        <f t="shared" si="3"/>
        <v>2.7777777777777776E-2</v>
      </c>
    </row>
    <row r="72" spans="1:8" ht="13.8" x14ac:dyDescent="0.3">
      <c r="A72" s="168"/>
      <c r="B72" s="166" t="s">
        <v>808</v>
      </c>
      <c r="C72" s="184">
        <v>1</v>
      </c>
      <c r="D72" s="167"/>
      <c r="E72" s="101">
        <f t="shared" si="2"/>
        <v>1</v>
      </c>
      <c r="F72" s="169"/>
      <c r="H72" s="300">
        <f t="shared" si="3"/>
        <v>2.7777777777777776E-2</v>
      </c>
    </row>
    <row r="73" spans="1:8" ht="13.8" x14ac:dyDescent="0.3">
      <c r="A73" s="168"/>
      <c r="B73" s="166" t="s">
        <v>809</v>
      </c>
      <c r="C73" s="184">
        <v>1</v>
      </c>
      <c r="D73" s="167"/>
      <c r="E73" s="101">
        <f t="shared" si="2"/>
        <v>1</v>
      </c>
      <c r="F73" s="169"/>
      <c r="H73" s="300">
        <f t="shared" si="3"/>
        <v>2.7777777777777776E-2</v>
      </c>
    </row>
    <row r="74" spans="1:8" ht="13.8" x14ac:dyDescent="0.3">
      <c r="A74" s="168"/>
      <c r="B74" s="166" t="s">
        <v>810</v>
      </c>
      <c r="C74" s="184">
        <v>1</v>
      </c>
      <c r="D74" s="167"/>
      <c r="E74" s="101">
        <f t="shared" si="2"/>
        <v>1</v>
      </c>
      <c r="F74" s="169"/>
      <c r="H74" s="300">
        <f t="shared" si="3"/>
        <v>2.7777777777777776E-2</v>
      </c>
    </row>
    <row r="75" spans="1:8" ht="13.8" x14ac:dyDescent="0.3">
      <c r="A75" s="168"/>
      <c r="B75" s="166" t="s">
        <v>811</v>
      </c>
      <c r="C75" s="184">
        <v>1</v>
      </c>
      <c r="D75" s="167"/>
      <c r="E75" s="101">
        <f t="shared" si="2"/>
        <v>1</v>
      </c>
      <c r="F75" s="169"/>
      <c r="H75" s="300">
        <f t="shared" si="3"/>
        <v>2.7777777777777776E-2</v>
      </c>
    </row>
    <row r="76" spans="1:8" ht="13.8" x14ac:dyDescent="0.3">
      <c r="A76" s="168"/>
      <c r="B76" s="166" t="s">
        <v>812</v>
      </c>
      <c r="C76" s="184">
        <v>1</v>
      </c>
      <c r="D76" s="167"/>
      <c r="E76" s="101">
        <f t="shared" si="2"/>
        <v>1</v>
      </c>
      <c r="F76" s="169"/>
      <c r="H76" s="300">
        <f t="shared" si="3"/>
        <v>2.7777777777777776E-2</v>
      </c>
    </row>
    <row r="77" spans="1:8" ht="13.8" x14ac:dyDescent="0.3">
      <c r="A77" s="168"/>
      <c r="B77" s="166" t="s">
        <v>813</v>
      </c>
      <c r="C77" s="184">
        <v>1</v>
      </c>
      <c r="D77" s="167"/>
      <c r="E77" s="101">
        <f t="shared" si="2"/>
        <v>1</v>
      </c>
      <c r="F77" s="169"/>
      <c r="H77" s="300">
        <f t="shared" si="3"/>
        <v>2.7777777777777776E-2</v>
      </c>
    </row>
    <row r="78" spans="1:8" ht="13.8" x14ac:dyDescent="0.3">
      <c r="A78" s="168"/>
      <c r="B78" s="166" t="s">
        <v>814</v>
      </c>
      <c r="C78" s="184">
        <v>1</v>
      </c>
      <c r="D78" s="167"/>
      <c r="E78" s="101">
        <f t="shared" si="2"/>
        <v>1</v>
      </c>
      <c r="F78" s="169"/>
      <c r="H78" s="300">
        <f t="shared" si="3"/>
        <v>2.7777777777777776E-2</v>
      </c>
    </row>
    <row r="79" spans="1:8" ht="13.8" x14ac:dyDescent="0.3">
      <c r="A79" s="168"/>
      <c r="B79" s="166" t="s">
        <v>815</v>
      </c>
      <c r="C79" s="184">
        <v>1</v>
      </c>
      <c r="D79" s="167"/>
      <c r="E79" s="101">
        <f t="shared" si="2"/>
        <v>1</v>
      </c>
      <c r="F79" s="169"/>
      <c r="H79" s="300">
        <f t="shared" si="3"/>
        <v>2.7777777777777776E-2</v>
      </c>
    </row>
    <row r="80" spans="1:8" ht="13.8" x14ac:dyDescent="0.3">
      <c r="A80" s="168"/>
      <c r="B80" s="166" t="s">
        <v>816</v>
      </c>
      <c r="C80" s="184">
        <v>1</v>
      </c>
      <c r="D80" s="167"/>
      <c r="E80" s="101">
        <f t="shared" si="2"/>
        <v>1</v>
      </c>
      <c r="F80" s="169"/>
      <c r="H80" s="300">
        <f t="shared" si="3"/>
        <v>2.7777777777777776E-2</v>
      </c>
    </row>
    <row r="81" spans="1:8" ht="15" customHeight="1" x14ac:dyDescent="0.3">
      <c r="A81" s="170"/>
      <c r="B81" s="171" t="s">
        <v>10</v>
      </c>
      <c r="C81" s="228"/>
      <c r="D81" s="172"/>
      <c r="E81" s="174">
        <f>SUM(E45:E80)</f>
        <v>36</v>
      </c>
      <c r="F81" s="173" t="s">
        <v>5</v>
      </c>
    </row>
    <row r="82" spans="1:8" ht="6.6" customHeight="1" x14ac:dyDescent="0.25">
      <c r="A82" s="369"/>
      <c r="B82" s="370"/>
      <c r="C82" s="370"/>
      <c r="D82" s="370"/>
      <c r="E82" s="370"/>
      <c r="F82" s="371"/>
    </row>
    <row r="83" spans="1:8" ht="15" customHeight="1" x14ac:dyDescent="0.25">
      <c r="A83" s="286" t="s">
        <v>21</v>
      </c>
      <c r="B83" s="287" t="str">
        <f>'Planilha Orçamentária'!D8</f>
        <v>Mobilização Comunitária - Apresentação do Projeto Urbanístico</v>
      </c>
      <c r="C83" s="288"/>
      <c r="D83" s="289"/>
      <c r="E83" s="288"/>
      <c r="F83" s="290"/>
    </row>
    <row r="84" spans="1:8" ht="13.8" x14ac:dyDescent="0.3">
      <c r="A84" s="168"/>
      <c r="B84" s="166" t="s">
        <v>779</v>
      </c>
      <c r="C84" s="184">
        <v>1</v>
      </c>
      <c r="D84" s="167"/>
      <c r="E84" s="101">
        <f>C84</f>
        <v>1</v>
      </c>
      <c r="F84" s="169"/>
      <c r="H84" s="300">
        <f>E84/$E$120</f>
        <v>2.7777777777777776E-2</v>
      </c>
    </row>
    <row r="85" spans="1:8" ht="13.8" x14ac:dyDescent="0.3">
      <c r="A85" s="168"/>
      <c r="B85" s="166" t="s">
        <v>782</v>
      </c>
      <c r="C85" s="184">
        <v>1</v>
      </c>
      <c r="D85" s="167"/>
      <c r="E85" s="101">
        <f t="shared" ref="E85:E119" si="4">C85</f>
        <v>1</v>
      </c>
      <c r="F85" s="169"/>
      <c r="H85" s="300">
        <f t="shared" ref="H85:H119" si="5">E85/$E$120</f>
        <v>2.7777777777777776E-2</v>
      </c>
    </row>
    <row r="86" spans="1:8" ht="13.8" x14ac:dyDescent="0.3">
      <c r="A86" s="168"/>
      <c r="B86" s="166" t="s">
        <v>783</v>
      </c>
      <c r="C86" s="184">
        <v>1</v>
      </c>
      <c r="D86" s="167"/>
      <c r="E86" s="101">
        <f t="shared" si="4"/>
        <v>1</v>
      </c>
      <c r="F86" s="169"/>
      <c r="H86" s="300">
        <f t="shared" si="5"/>
        <v>2.7777777777777776E-2</v>
      </c>
    </row>
    <row r="87" spans="1:8" ht="13.8" x14ac:dyDescent="0.3">
      <c r="A87" s="168"/>
      <c r="B87" s="166" t="s">
        <v>784</v>
      </c>
      <c r="C87" s="184">
        <v>1</v>
      </c>
      <c r="D87" s="167"/>
      <c r="E87" s="101">
        <f t="shared" si="4"/>
        <v>1</v>
      </c>
      <c r="F87" s="169"/>
      <c r="H87" s="300">
        <f t="shared" si="5"/>
        <v>2.7777777777777776E-2</v>
      </c>
    </row>
    <row r="88" spans="1:8" ht="13.8" x14ac:dyDescent="0.3">
      <c r="A88" s="168"/>
      <c r="B88" s="166" t="s">
        <v>785</v>
      </c>
      <c r="C88" s="184">
        <v>1</v>
      </c>
      <c r="D88" s="167"/>
      <c r="E88" s="101">
        <f t="shared" si="4"/>
        <v>1</v>
      </c>
      <c r="F88" s="169"/>
      <c r="H88" s="300">
        <f t="shared" si="5"/>
        <v>2.7777777777777776E-2</v>
      </c>
    </row>
    <row r="89" spans="1:8" ht="13.8" x14ac:dyDescent="0.3">
      <c r="A89" s="168"/>
      <c r="B89" s="166" t="s">
        <v>786</v>
      </c>
      <c r="C89" s="184">
        <v>1</v>
      </c>
      <c r="D89" s="167"/>
      <c r="E89" s="101">
        <f t="shared" si="4"/>
        <v>1</v>
      </c>
      <c r="F89" s="169"/>
      <c r="H89" s="300">
        <f t="shared" si="5"/>
        <v>2.7777777777777776E-2</v>
      </c>
    </row>
    <row r="90" spans="1:8" ht="13.8" x14ac:dyDescent="0.3">
      <c r="A90" s="168"/>
      <c r="B90" s="166" t="s">
        <v>787</v>
      </c>
      <c r="C90" s="184">
        <v>1</v>
      </c>
      <c r="D90" s="167"/>
      <c r="E90" s="101">
        <f t="shared" si="4"/>
        <v>1</v>
      </c>
      <c r="F90" s="169"/>
      <c r="H90" s="300">
        <f t="shared" si="5"/>
        <v>2.7777777777777776E-2</v>
      </c>
    </row>
    <row r="91" spans="1:8" ht="13.8" x14ac:dyDescent="0.3">
      <c r="A91" s="168"/>
      <c r="B91" s="166" t="s">
        <v>788</v>
      </c>
      <c r="C91" s="184">
        <v>1</v>
      </c>
      <c r="D91" s="167"/>
      <c r="E91" s="101">
        <f t="shared" si="4"/>
        <v>1</v>
      </c>
      <c r="F91" s="169"/>
      <c r="H91" s="300">
        <f t="shared" si="5"/>
        <v>2.7777777777777776E-2</v>
      </c>
    </row>
    <row r="92" spans="1:8" ht="13.8" x14ac:dyDescent="0.3">
      <c r="A92" s="168"/>
      <c r="B92" s="166" t="s">
        <v>789</v>
      </c>
      <c r="C92" s="184">
        <v>1</v>
      </c>
      <c r="D92" s="167"/>
      <c r="E92" s="101">
        <f t="shared" si="4"/>
        <v>1</v>
      </c>
      <c r="F92" s="169"/>
      <c r="H92" s="300">
        <f t="shared" si="5"/>
        <v>2.7777777777777776E-2</v>
      </c>
    </row>
    <row r="93" spans="1:8" ht="13.8" x14ac:dyDescent="0.3">
      <c r="A93" s="168"/>
      <c r="B93" s="166" t="s">
        <v>790</v>
      </c>
      <c r="C93" s="184">
        <v>1</v>
      </c>
      <c r="D93" s="167"/>
      <c r="E93" s="101">
        <f t="shared" si="4"/>
        <v>1</v>
      </c>
      <c r="F93" s="169"/>
      <c r="H93" s="300">
        <f t="shared" si="5"/>
        <v>2.7777777777777776E-2</v>
      </c>
    </row>
    <row r="94" spans="1:8" ht="13.8" x14ac:dyDescent="0.3">
      <c r="A94" s="168"/>
      <c r="B94" s="166" t="s">
        <v>791</v>
      </c>
      <c r="C94" s="184">
        <v>1</v>
      </c>
      <c r="D94" s="167"/>
      <c r="E94" s="101">
        <f t="shared" si="4"/>
        <v>1</v>
      </c>
      <c r="F94" s="169"/>
      <c r="H94" s="300">
        <f t="shared" si="5"/>
        <v>2.7777777777777776E-2</v>
      </c>
    </row>
    <row r="95" spans="1:8" ht="13.8" x14ac:dyDescent="0.3">
      <c r="A95" s="168"/>
      <c r="B95" s="166" t="s">
        <v>792</v>
      </c>
      <c r="C95" s="184">
        <v>1</v>
      </c>
      <c r="D95" s="167"/>
      <c r="E95" s="101">
        <f t="shared" si="4"/>
        <v>1</v>
      </c>
      <c r="F95" s="169"/>
      <c r="H95" s="300">
        <f t="shared" si="5"/>
        <v>2.7777777777777776E-2</v>
      </c>
    </row>
    <row r="96" spans="1:8" ht="13.8" x14ac:dyDescent="0.3">
      <c r="A96" s="168"/>
      <c r="B96" s="166" t="s">
        <v>793</v>
      </c>
      <c r="C96" s="184">
        <v>1</v>
      </c>
      <c r="D96" s="167"/>
      <c r="E96" s="101">
        <f t="shared" si="4"/>
        <v>1</v>
      </c>
      <c r="F96" s="169"/>
      <c r="H96" s="300">
        <f t="shared" si="5"/>
        <v>2.7777777777777776E-2</v>
      </c>
    </row>
    <row r="97" spans="1:8" ht="13.8" x14ac:dyDescent="0.3">
      <c r="A97" s="168"/>
      <c r="B97" s="166" t="s">
        <v>794</v>
      </c>
      <c r="C97" s="184">
        <v>1</v>
      </c>
      <c r="D97" s="167"/>
      <c r="E97" s="101">
        <f t="shared" si="4"/>
        <v>1</v>
      </c>
      <c r="F97" s="169"/>
      <c r="H97" s="300">
        <f t="shared" si="5"/>
        <v>2.7777777777777776E-2</v>
      </c>
    </row>
    <row r="98" spans="1:8" ht="13.8" x14ac:dyDescent="0.3">
      <c r="A98" s="168"/>
      <c r="B98" s="166" t="s">
        <v>795</v>
      </c>
      <c r="C98" s="184">
        <v>1</v>
      </c>
      <c r="D98" s="167"/>
      <c r="E98" s="101">
        <f t="shared" si="4"/>
        <v>1</v>
      </c>
      <c r="F98" s="169"/>
      <c r="H98" s="300">
        <f t="shared" si="5"/>
        <v>2.7777777777777776E-2</v>
      </c>
    </row>
    <row r="99" spans="1:8" ht="13.8" x14ac:dyDescent="0.3">
      <c r="A99" s="168"/>
      <c r="B99" s="166" t="s">
        <v>796</v>
      </c>
      <c r="C99" s="184">
        <v>1</v>
      </c>
      <c r="D99" s="167"/>
      <c r="E99" s="101">
        <f t="shared" si="4"/>
        <v>1</v>
      </c>
      <c r="F99" s="169"/>
      <c r="H99" s="300">
        <f t="shared" si="5"/>
        <v>2.7777777777777776E-2</v>
      </c>
    </row>
    <row r="100" spans="1:8" ht="13.8" x14ac:dyDescent="0.3">
      <c r="A100" s="168"/>
      <c r="B100" s="166" t="s">
        <v>797</v>
      </c>
      <c r="C100" s="184">
        <v>1</v>
      </c>
      <c r="D100" s="167"/>
      <c r="E100" s="101">
        <f t="shared" si="4"/>
        <v>1</v>
      </c>
      <c r="F100" s="169"/>
      <c r="H100" s="300">
        <f t="shared" si="5"/>
        <v>2.7777777777777776E-2</v>
      </c>
    </row>
    <row r="101" spans="1:8" ht="13.8" x14ac:dyDescent="0.3">
      <c r="A101" s="168"/>
      <c r="B101" s="166" t="s">
        <v>798</v>
      </c>
      <c r="C101" s="184">
        <v>1</v>
      </c>
      <c r="D101" s="167"/>
      <c r="E101" s="101">
        <f t="shared" si="4"/>
        <v>1</v>
      </c>
      <c r="F101" s="169"/>
      <c r="H101" s="300">
        <f t="shared" si="5"/>
        <v>2.7777777777777776E-2</v>
      </c>
    </row>
    <row r="102" spans="1:8" ht="13.8" x14ac:dyDescent="0.3">
      <c r="A102" s="168"/>
      <c r="B102" s="166" t="s">
        <v>799</v>
      </c>
      <c r="C102" s="184">
        <v>1</v>
      </c>
      <c r="D102" s="167"/>
      <c r="E102" s="101">
        <f t="shared" si="4"/>
        <v>1</v>
      </c>
      <c r="F102" s="169"/>
      <c r="H102" s="300">
        <f t="shared" si="5"/>
        <v>2.7777777777777776E-2</v>
      </c>
    </row>
    <row r="103" spans="1:8" ht="13.8" x14ac:dyDescent="0.3">
      <c r="A103" s="168"/>
      <c r="B103" s="166" t="s">
        <v>800</v>
      </c>
      <c r="C103" s="184">
        <v>1</v>
      </c>
      <c r="D103" s="167"/>
      <c r="E103" s="101">
        <f t="shared" si="4"/>
        <v>1</v>
      </c>
      <c r="F103" s="169"/>
      <c r="H103" s="300">
        <f t="shared" si="5"/>
        <v>2.7777777777777776E-2</v>
      </c>
    </row>
    <row r="104" spans="1:8" ht="13.8" x14ac:dyDescent="0.3">
      <c r="A104" s="168"/>
      <c r="B104" s="166" t="s">
        <v>801</v>
      </c>
      <c r="C104" s="184">
        <v>1</v>
      </c>
      <c r="D104" s="167"/>
      <c r="E104" s="101">
        <f t="shared" si="4"/>
        <v>1</v>
      </c>
      <c r="F104" s="169"/>
      <c r="H104" s="300">
        <f t="shared" si="5"/>
        <v>2.7777777777777776E-2</v>
      </c>
    </row>
    <row r="105" spans="1:8" ht="13.8" x14ac:dyDescent="0.3">
      <c r="A105" s="168"/>
      <c r="B105" s="166" t="s">
        <v>802</v>
      </c>
      <c r="C105" s="184">
        <v>1</v>
      </c>
      <c r="D105" s="167"/>
      <c r="E105" s="101">
        <f t="shared" si="4"/>
        <v>1</v>
      </c>
      <c r="F105" s="169"/>
      <c r="H105" s="300">
        <f t="shared" si="5"/>
        <v>2.7777777777777776E-2</v>
      </c>
    </row>
    <row r="106" spans="1:8" ht="13.8" x14ac:dyDescent="0.3">
      <c r="A106" s="168"/>
      <c r="B106" s="166" t="s">
        <v>803</v>
      </c>
      <c r="C106" s="184">
        <v>1</v>
      </c>
      <c r="D106" s="167"/>
      <c r="E106" s="101">
        <f t="shared" si="4"/>
        <v>1</v>
      </c>
      <c r="F106" s="169"/>
      <c r="H106" s="300">
        <f t="shared" si="5"/>
        <v>2.7777777777777776E-2</v>
      </c>
    </row>
    <row r="107" spans="1:8" ht="13.8" x14ac:dyDescent="0.3">
      <c r="A107" s="168"/>
      <c r="B107" s="166" t="s">
        <v>804</v>
      </c>
      <c r="C107" s="184">
        <v>1</v>
      </c>
      <c r="D107" s="167"/>
      <c r="E107" s="101">
        <f t="shared" si="4"/>
        <v>1</v>
      </c>
      <c r="F107" s="169"/>
      <c r="H107" s="300">
        <f t="shared" si="5"/>
        <v>2.7777777777777776E-2</v>
      </c>
    </row>
    <row r="108" spans="1:8" ht="13.8" x14ac:dyDescent="0.3">
      <c r="A108" s="168"/>
      <c r="B108" s="166" t="s">
        <v>805</v>
      </c>
      <c r="C108" s="184">
        <v>1</v>
      </c>
      <c r="D108" s="167"/>
      <c r="E108" s="101">
        <f t="shared" si="4"/>
        <v>1</v>
      </c>
      <c r="F108" s="169"/>
      <c r="H108" s="300">
        <f t="shared" si="5"/>
        <v>2.7777777777777776E-2</v>
      </c>
    </row>
    <row r="109" spans="1:8" ht="13.8" x14ac:dyDescent="0.3">
      <c r="A109" s="168"/>
      <c r="B109" s="166" t="s">
        <v>806</v>
      </c>
      <c r="C109" s="184">
        <v>1</v>
      </c>
      <c r="D109" s="167"/>
      <c r="E109" s="101">
        <f t="shared" si="4"/>
        <v>1</v>
      </c>
      <c r="F109" s="169"/>
      <c r="H109" s="300">
        <f t="shared" si="5"/>
        <v>2.7777777777777776E-2</v>
      </c>
    </row>
    <row r="110" spans="1:8" ht="13.8" x14ac:dyDescent="0.3">
      <c r="A110" s="168"/>
      <c r="B110" s="166" t="s">
        <v>807</v>
      </c>
      <c r="C110" s="184">
        <v>1</v>
      </c>
      <c r="D110" s="167"/>
      <c r="E110" s="101">
        <f t="shared" si="4"/>
        <v>1</v>
      </c>
      <c r="F110" s="169"/>
      <c r="H110" s="300">
        <f t="shared" si="5"/>
        <v>2.7777777777777776E-2</v>
      </c>
    </row>
    <row r="111" spans="1:8" ht="13.8" x14ac:dyDescent="0.3">
      <c r="A111" s="168"/>
      <c r="B111" s="166" t="s">
        <v>808</v>
      </c>
      <c r="C111" s="184">
        <v>1</v>
      </c>
      <c r="D111" s="167"/>
      <c r="E111" s="101">
        <f t="shared" si="4"/>
        <v>1</v>
      </c>
      <c r="F111" s="169"/>
      <c r="H111" s="300">
        <f t="shared" si="5"/>
        <v>2.7777777777777776E-2</v>
      </c>
    </row>
    <row r="112" spans="1:8" ht="13.8" x14ac:dyDescent="0.3">
      <c r="A112" s="168"/>
      <c r="B112" s="166" t="s">
        <v>809</v>
      </c>
      <c r="C112" s="184">
        <v>1</v>
      </c>
      <c r="D112" s="167"/>
      <c r="E112" s="101">
        <f t="shared" si="4"/>
        <v>1</v>
      </c>
      <c r="F112" s="169"/>
      <c r="H112" s="300">
        <f t="shared" si="5"/>
        <v>2.7777777777777776E-2</v>
      </c>
    </row>
    <row r="113" spans="1:9" ht="13.8" x14ac:dyDescent="0.3">
      <c r="A113" s="168"/>
      <c r="B113" s="166" t="s">
        <v>810</v>
      </c>
      <c r="C113" s="184">
        <v>1</v>
      </c>
      <c r="D113" s="167"/>
      <c r="E113" s="101">
        <f t="shared" si="4"/>
        <v>1</v>
      </c>
      <c r="F113" s="169"/>
      <c r="H113" s="300">
        <f t="shared" si="5"/>
        <v>2.7777777777777776E-2</v>
      </c>
    </row>
    <row r="114" spans="1:9" ht="13.8" x14ac:dyDescent="0.3">
      <c r="A114" s="168"/>
      <c r="B114" s="166" t="s">
        <v>811</v>
      </c>
      <c r="C114" s="184">
        <v>1</v>
      </c>
      <c r="D114" s="167"/>
      <c r="E114" s="101">
        <f t="shared" si="4"/>
        <v>1</v>
      </c>
      <c r="F114" s="169"/>
      <c r="H114" s="300">
        <f t="shared" si="5"/>
        <v>2.7777777777777776E-2</v>
      </c>
    </row>
    <row r="115" spans="1:9" ht="13.8" x14ac:dyDescent="0.3">
      <c r="A115" s="168"/>
      <c r="B115" s="166" t="s">
        <v>812</v>
      </c>
      <c r="C115" s="184">
        <v>1</v>
      </c>
      <c r="D115" s="167"/>
      <c r="E115" s="101">
        <f t="shared" si="4"/>
        <v>1</v>
      </c>
      <c r="F115" s="169"/>
      <c r="H115" s="300">
        <f t="shared" si="5"/>
        <v>2.7777777777777776E-2</v>
      </c>
    </row>
    <row r="116" spans="1:9" ht="13.8" x14ac:dyDescent="0.3">
      <c r="A116" s="168"/>
      <c r="B116" s="166" t="s">
        <v>813</v>
      </c>
      <c r="C116" s="184">
        <v>1</v>
      </c>
      <c r="D116" s="167"/>
      <c r="E116" s="101">
        <f t="shared" si="4"/>
        <v>1</v>
      </c>
      <c r="F116" s="169"/>
      <c r="H116" s="300">
        <f t="shared" si="5"/>
        <v>2.7777777777777776E-2</v>
      </c>
    </row>
    <row r="117" spans="1:9" ht="13.8" x14ac:dyDescent="0.3">
      <c r="A117" s="168"/>
      <c r="B117" s="166" t="s">
        <v>814</v>
      </c>
      <c r="C117" s="184">
        <v>1</v>
      </c>
      <c r="D117" s="167"/>
      <c r="E117" s="101">
        <f t="shared" si="4"/>
        <v>1</v>
      </c>
      <c r="F117" s="169"/>
      <c r="H117" s="300">
        <f t="shared" si="5"/>
        <v>2.7777777777777776E-2</v>
      </c>
    </row>
    <row r="118" spans="1:9" ht="13.8" x14ac:dyDescent="0.3">
      <c r="A118" s="168"/>
      <c r="B118" s="166" t="s">
        <v>815</v>
      </c>
      <c r="C118" s="184">
        <v>1</v>
      </c>
      <c r="D118" s="167"/>
      <c r="E118" s="101">
        <f t="shared" si="4"/>
        <v>1</v>
      </c>
      <c r="F118" s="169"/>
      <c r="H118" s="300">
        <f t="shared" si="5"/>
        <v>2.7777777777777776E-2</v>
      </c>
    </row>
    <row r="119" spans="1:9" ht="13.8" x14ac:dyDescent="0.3">
      <c r="A119" s="168"/>
      <c r="B119" s="166" t="s">
        <v>816</v>
      </c>
      <c r="C119" s="184">
        <v>1</v>
      </c>
      <c r="D119" s="167"/>
      <c r="E119" s="101">
        <f t="shared" si="4"/>
        <v>1</v>
      </c>
      <c r="F119" s="169"/>
      <c r="H119" s="300">
        <f t="shared" si="5"/>
        <v>2.7777777777777776E-2</v>
      </c>
    </row>
    <row r="120" spans="1:9" ht="15" customHeight="1" x14ac:dyDescent="0.3">
      <c r="A120" s="170"/>
      <c r="B120" s="171" t="s">
        <v>10</v>
      </c>
      <c r="C120" s="228"/>
      <c r="D120" s="172"/>
      <c r="E120" s="174">
        <f>SUM(E84:E119)</f>
        <v>36</v>
      </c>
      <c r="F120" s="173" t="s">
        <v>5</v>
      </c>
    </row>
    <row r="121" spans="1:9" ht="6.6" customHeight="1" x14ac:dyDescent="0.25">
      <c r="A121" s="369"/>
      <c r="B121" s="370"/>
      <c r="C121" s="370"/>
      <c r="D121" s="370"/>
      <c r="E121" s="370"/>
      <c r="F121" s="371"/>
    </row>
    <row r="122" spans="1:9" ht="39" customHeight="1" x14ac:dyDescent="0.25">
      <c r="A122" s="286" t="s">
        <v>20</v>
      </c>
      <c r="B122" s="367" t="str">
        <f>'Planilha Orçamentária'!D9</f>
        <v>Levantamento Topográfico Planialtimétrico Cadastral Georreferenciado para Loteamentos, Incluindo a Implantação de Base (Par de Marcos) de Concreto, Georreferenciados com GPS de Dupla Frequência e levantamento aerofotogramétrico urbano, GSD &lt;= 4cm; PEC Classe A, Inclusive Pós Processamento.</v>
      </c>
      <c r="C122" s="367"/>
      <c r="D122" s="367"/>
      <c r="E122" s="367"/>
      <c r="F122" s="368"/>
    </row>
    <row r="123" spans="1:9" ht="13.8" x14ac:dyDescent="0.3">
      <c r="A123" s="168"/>
      <c r="B123" s="166" t="s">
        <v>779</v>
      </c>
      <c r="C123" s="184">
        <v>724</v>
      </c>
      <c r="D123" s="175">
        <v>203946</v>
      </c>
      <c r="E123" s="101">
        <f>D123</f>
        <v>203946</v>
      </c>
      <c r="F123" s="169"/>
      <c r="G123" s="304">
        <f t="shared" ref="G123:G158" si="6">E123/$E$159</f>
        <v>3.9464892391959959E-2</v>
      </c>
      <c r="H123" s="300">
        <f>IF(C123&lt;200,G123,IF(AND(C123&gt;=200,C123&lt;450),G123/2,IF(AND(C123&gt;=450,C123&lt;800),G123/3,IF(C123&gt;=800,G123/4))))</f>
        <v>1.315496413065332E-2</v>
      </c>
      <c r="I123" s="166" t="s">
        <v>779</v>
      </c>
    </row>
    <row r="124" spans="1:9" ht="13.8" x14ac:dyDescent="0.3">
      <c r="A124" s="168"/>
      <c r="B124" s="166" t="s">
        <v>782</v>
      </c>
      <c r="C124" s="184">
        <v>429</v>
      </c>
      <c r="D124" s="175">
        <v>143285</v>
      </c>
      <c r="E124" s="101">
        <f t="shared" ref="E124:E158" si="7">D124</f>
        <v>143285</v>
      </c>
      <c r="F124" s="169"/>
      <c r="G124" s="304">
        <f t="shared" si="6"/>
        <v>2.7726589912927844E-2</v>
      </c>
      <c r="H124" s="300">
        <f t="shared" ref="H124:H158" si="8">IF(C124&lt;200,G124,IF(AND(C124&gt;=200,C124&lt;450),G124/2,IF(AND(C124&gt;=450,C124&lt;800),G124/3,IF(C124&gt;=800,G124/4))))</f>
        <v>1.3863294956463922E-2</v>
      </c>
      <c r="I124" s="166" t="s">
        <v>782</v>
      </c>
    </row>
    <row r="125" spans="1:9" ht="13.8" x14ac:dyDescent="0.3">
      <c r="A125" s="168"/>
      <c r="B125" s="166" t="s">
        <v>783</v>
      </c>
      <c r="C125" s="184">
        <v>841</v>
      </c>
      <c r="D125" s="175">
        <v>210407</v>
      </c>
      <c r="E125" s="101">
        <f t="shared" si="7"/>
        <v>210407</v>
      </c>
      <c r="F125" s="169"/>
      <c r="G125" s="304">
        <f t="shared" si="6"/>
        <v>4.0715138387196211E-2</v>
      </c>
      <c r="H125" s="300">
        <f t="shared" si="8"/>
        <v>1.0178784596799053E-2</v>
      </c>
      <c r="I125" s="166" t="s">
        <v>783</v>
      </c>
    </row>
    <row r="126" spans="1:9" ht="13.8" x14ac:dyDescent="0.3">
      <c r="A126" s="168"/>
      <c r="B126" s="166" t="s">
        <v>784</v>
      </c>
      <c r="C126" s="184">
        <v>216</v>
      </c>
      <c r="D126" s="175">
        <v>72102</v>
      </c>
      <c r="E126" s="101">
        <f t="shared" si="7"/>
        <v>72102</v>
      </c>
      <c r="F126" s="169"/>
      <c r="G126" s="304">
        <f t="shared" si="6"/>
        <v>1.3952211228683557E-2</v>
      </c>
      <c r="H126" s="300">
        <f t="shared" si="8"/>
        <v>6.9761056143417786E-3</v>
      </c>
      <c r="I126" s="166" t="s">
        <v>784</v>
      </c>
    </row>
    <row r="127" spans="1:9" ht="13.8" x14ac:dyDescent="0.3">
      <c r="A127" s="168"/>
      <c r="B127" s="166" t="s">
        <v>785</v>
      </c>
      <c r="C127" s="184">
        <v>668</v>
      </c>
      <c r="D127" s="175">
        <v>222739</v>
      </c>
      <c r="E127" s="101">
        <f t="shared" si="7"/>
        <v>222739</v>
      </c>
      <c r="F127" s="169"/>
      <c r="G127" s="304">
        <f t="shared" si="6"/>
        <v>4.3101461497125557E-2</v>
      </c>
      <c r="H127" s="300">
        <f t="shared" si="8"/>
        <v>1.4367153832375185E-2</v>
      </c>
      <c r="I127" s="166" t="s">
        <v>785</v>
      </c>
    </row>
    <row r="128" spans="1:9" ht="13.8" x14ac:dyDescent="0.3">
      <c r="A128" s="168"/>
      <c r="B128" s="166" t="s">
        <v>786</v>
      </c>
      <c r="C128" s="184">
        <v>276</v>
      </c>
      <c r="D128" s="175">
        <v>207266</v>
      </c>
      <c r="E128" s="101">
        <f t="shared" si="7"/>
        <v>207266</v>
      </c>
      <c r="F128" s="169"/>
      <c r="G128" s="304">
        <f t="shared" si="6"/>
        <v>4.010733422823675E-2</v>
      </c>
      <c r="H128" s="300">
        <f t="shared" si="8"/>
        <v>2.0053667114118375E-2</v>
      </c>
      <c r="I128" s="166" t="s">
        <v>786</v>
      </c>
    </row>
    <row r="129" spans="1:9" ht="13.8" x14ac:dyDescent="0.3">
      <c r="A129" s="168"/>
      <c r="B129" s="166" t="s">
        <v>787</v>
      </c>
      <c r="C129" s="184">
        <v>5</v>
      </c>
      <c r="D129" s="175">
        <v>2031</v>
      </c>
      <c r="E129" s="101">
        <f t="shared" si="7"/>
        <v>2031</v>
      </c>
      <c r="F129" s="169"/>
      <c r="G129" s="304">
        <f t="shared" si="6"/>
        <v>3.9301185827655689E-4</v>
      </c>
      <c r="H129" s="300">
        <f t="shared" si="8"/>
        <v>3.9301185827655689E-4</v>
      </c>
      <c r="I129" s="166" t="s">
        <v>787</v>
      </c>
    </row>
    <row r="130" spans="1:9" ht="13.8" x14ac:dyDescent="0.3">
      <c r="A130" s="168"/>
      <c r="B130" s="166" t="s">
        <v>788</v>
      </c>
      <c r="C130" s="184">
        <v>759</v>
      </c>
      <c r="D130" s="175">
        <v>379761</v>
      </c>
      <c r="E130" s="101">
        <f t="shared" si="7"/>
        <v>379761</v>
      </c>
      <c r="F130" s="169"/>
      <c r="G130" s="304">
        <f t="shared" si="6"/>
        <v>7.3486251260937233E-2</v>
      </c>
      <c r="H130" s="300">
        <f t="shared" si="8"/>
        <v>2.4495417086979079E-2</v>
      </c>
      <c r="I130" s="166" t="s">
        <v>788</v>
      </c>
    </row>
    <row r="131" spans="1:9" ht="13.8" x14ac:dyDescent="0.3">
      <c r="A131" s="168"/>
      <c r="B131" s="166" t="s">
        <v>789</v>
      </c>
      <c r="C131" s="184">
        <v>776</v>
      </c>
      <c r="D131" s="175">
        <v>258945</v>
      </c>
      <c r="E131" s="101">
        <f t="shared" si="7"/>
        <v>258945</v>
      </c>
      <c r="F131" s="169"/>
      <c r="G131" s="304">
        <f t="shared" si="6"/>
        <v>5.0107560630932066E-2</v>
      </c>
      <c r="H131" s="300">
        <f t="shared" si="8"/>
        <v>1.6702520210310687E-2</v>
      </c>
      <c r="I131" s="166" t="s">
        <v>789</v>
      </c>
    </row>
    <row r="132" spans="1:9" ht="13.8" x14ac:dyDescent="0.3">
      <c r="A132" s="168"/>
      <c r="B132" s="166" t="s">
        <v>790</v>
      </c>
      <c r="C132" s="184">
        <v>323</v>
      </c>
      <c r="D132" s="175">
        <v>134714</v>
      </c>
      <c r="E132" s="101">
        <f t="shared" si="7"/>
        <v>134714</v>
      </c>
      <c r="F132" s="169"/>
      <c r="G132" s="304">
        <f t="shared" si="6"/>
        <v>2.606804503981688E-2</v>
      </c>
      <c r="H132" s="300">
        <f t="shared" si="8"/>
        <v>1.303402251990844E-2</v>
      </c>
      <c r="I132" s="166" t="s">
        <v>790</v>
      </c>
    </row>
    <row r="133" spans="1:9" ht="13.8" x14ac:dyDescent="0.3">
      <c r="A133" s="168"/>
      <c r="B133" s="166" t="s">
        <v>791</v>
      </c>
      <c r="C133" s="184">
        <v>732</v>
      </c>
      <c r="D133" s="175">
        <v>244099</v>
      </c>
      <c r="E133" s="101">
        <f t="shared" si="7"/>
        <v>244099</v>
      </c>
      <c r="F133" s="169"/>
      <c r="G133" s="304">
        <f t="shared" si="6"/>
        <v>4.7234761985942522E-2</v>
      </c>
      <c r="H133" s="300">
        <f t="shared" si="8"/>
        <v>1.5744920661980841E-2</v>
      </c>
      <c r="I133" s="166" t="s">
        <v>791</v>
      </c>
    </row>
    <row r="134" spans="1:9" ht="13.8" x14ac:dyDescent="0.3">
      <c r="A134" s="168"/>
      <c r="B134" s="166" t="s">
        <v>792</v>
      </c>
      <c r="C134" s="184">
        <v>189</v>
      </c>
      <c r="D134" s="175">
        <v>22321</v>
      </c>
      <c r="E134" s="101">
        <f t="shared" si="7"/>
        <v>22321</v>
      </c>
      <c r="F134" s="169"/>
      <c r="G134" s="304">
        <f t="shared" si="6"/>
        <v>4.31926030949829E-3</v>
      </c>
      <c r="H134" s="300">
        <f t="shared" si="8"/>
        <v>4.31926030949829E-3</v>
      </c>
      <c r="I134" s="166" t="s">
        <v>792</v>
      </c>
    </row>
    <row r="135" spans="1:9" ht="13.8" x14ac:dyDescent="0.3">
      <c r="A135" s="168"/>
      <c r="B135" s="166" t="s">
        <v>793</v>
      </c>
      <c r="C135" s="184">
        <v>921</v>
      </c>
      <c r="D135" s="175">
        <v>199405</v>
      </c>
      <c r="E135" s="101">
        <f t="shared" si="7"/>
        <v>199405</v>
      </c>
      <c r="F135" s="169"/>
      <c r="G135" s="304">
        <f t="shared" si="6"/>
        <v>3.8586179024931971E-2</v>
      </c>
      <c r="H135" s="300">
        <f t="shared" si="8"/>
        <v>9.6465447562329928E-3</v>
      </c>
      <c r="I135" s="166" t="s">
        <v>793</v>
      </c>
    </row>
    <row r="136" spans="1:9" ht="13.8" x14ac:dyDescent="0.3">
      <c r="A136" s="168"/>
      <c r="B136" s="166" t="s">
        <v>794</v>
      </c>
      <c r="C136" s="184">
        <v>112</v>
      </c>
      <c r="D136" s="175">
        <v>38482</v>
      </c>
      <c r="E136" s="101">
        <f t="shared" si="7"/>
        <v>38482</v>
      </c>
      <c r="F136" s="169"/>
      <c r="G136" s="304">
        <f t="shared" si="6"/>
        <v>7.4465201034950579E-3</v>
      </c>
      <c r="H136" s="300">
        <f t="shared" si="8"/>
        <v>7.4465201034950579E-3</v>
      </c>
      <c r="I136" s="166" t="s">
        <v>794</v>
      </c>
    </row>
    <row r="137" spans="1:9" ht="13.8" x14ac:dyDescent="0.3">
      <c r="A137" s="168"/>
      <c r="B137" s="166" t="s">
        <v>795</v>
      </c>
      <c r="C137" s="184">
        <v>60</v>
      </c>
      <c r="D137" s="175">
        <v>25072</v>
      </c>
      <c r="E137" s="101">
        <f t="shared" si="7"/>
        <v>25072</v>
      </c>
      <c r="F137" s="169"/>
      <c r="G137" s="304">
        <f t="shared" si="6"/>
        <v>4.8515969033529468E-3</v>
      </c>
      <c r="H137" s="300">
        <f t="shared" si="8"/>
        <v>4.8515969033529468E-3</v>
      </c>
      <c r="I137" s="166" t="s">
        <v>795</v>
      </c>
    </row>
    <row r="138" spans="1:9" ht="13.8" x14ac:dyDescent="0.3">
      <c r="A138" s="168"/>
      <c r="B138" s="166" t="s">
        <v>796</v>
      </c>
      <c r="C138" s="184">
        <v>54</v>
      </c>
      <c r="D138" s="175">
        <v>7712</v>
      </c>
      <c r="E138" s="101">
        <f t="shared" si="7"/>
        <v>7712</v>
      </c>
      <c r="F138" s="169"/>
      <c r="G138" s="304">
        <f t="shared" si="6"/>
        <v>1.4923227233032037E-3</v>
      </c>
      <c r="H138" s="300">
        <f t="shared" si="8"/>
        <v>1.4923227233032037E-3</v>
      </c>
      <c r="I138" s="166" t="s">
        <v>796</v>
      </c>
    </row>
    <row r="139" spans="1:9" ht="13.8" x14ac:dyDescent="0.3">
      <c r="A139" s="168"/>
      <c r="B139" s="166" t="s">
        <v>797</v>
      </c>
      <c r="C139" s="184">
        <v>12</v>
      </c>
      <c r="D139" s="175">
        <v>6387</v>
      </c>
      <c r="E139" s="101">
        <f t="shared" si="7"/>
        <v>6387</v>
      </c>
      <c r="F139" s="169"/>
      <c r="G139" s="304">
        <f t="shared" si="6"/>
        <v>1.2359265085240614E-3</v>
      </c>
      <c r="H139" s="300">
        <f t="shared" si="8"/>
        <v>1.2359265085240614E-3</v>
      </c>
      <c r="I139" s="166" t="s">
        <v>797</v>
      </c>
    </row>
    <row r="140" spans="1:9" ht="13.8" x14ac:dyDescent="0.3">
      <c r="A140" s="168"/>
      <c r="B140" s="166" t="s">
        <v>798</v>
      </c>
      <c r="C140" s="365">
        <v>279</v>
      </c>
      <c r="D140" s="175">
        <v>40531</v>
      </c>
      <c r="E140" s="101">
        <f t="shared" si="7"/>
        <v>40531</v>
      </c>
      <c r="F140" s="169"/>
      <c r="G140" s="304">
        <f t="shared" si="6"/>
        <v>7.8430150801610671E-3</v>
      </c>
      <c r="H140" s="300">
        <f t="shared" si="8"/>
        <v>3.9215075400805335E-3</v>
      </c>
      <c r="I140" s="166" t="s">
        <v>798</v>
      </c>
    </row>
    <row r="141" spans="1:9" ht="13.8" x14ac:dyDescent="0.3">
      <c r="A141" s="168"/>
      <c r="B141" s="166" t="s">
        <v>799</v>
      </c>
      <c r="C141" s="365"/>
      <c r="D141" s="175">
        <v>69738</v>
      </c>
      <c r="E141" s="101">
        <f t="shared" si="7"/>
        <v>69738</v>
      </c>
      <c r="F141" s="169"/>
      <c r="G141" s="304">
        <f t="shared" si="6"/>
        <v>1.349476168020213E-2</v>
      </c>
      <c r="H141" s="300">
        <f t="shared" si="8"/>
        <v>1.349476168020213E-2</v>
      </c>
      <c r="I141" s="166" t="s">
        <v>799</v>
      </c>
    </row>
    <row r="142" spans="1:9" ht="13.8" x14ac:dyDescent="0.3">
      <c r="A142" s="168"/>
      <c r="B142" s="166" t="s">
        <v>800</v>
      </c>
      <c r="C142" s="365"/>
      <c r="D142" s="175">
        <v>26727</v>
      </c>
      <c r="E142" s="101">
        <f t="shared" si="7"/>
        <v>26727</v>
      </c>
      <c r="F142" s="169"/>
      <c r="G142" s="304">
        <f t="shared" si="6"/>
        <v>5.1718502886053848E-3</v>
      </c>
      <c r="H142" s="300">
        <f t="shared" si="8"/>
        <v>5.1718502886053848E-3</v>
      </c>
      <c r="I142" s="166" t="s">
        <v>800</v>
      </c>
    </row>
    <row r="143" spans="1:9" ht="13.8" x14ac:dyDescent="0.3">
      <c r="A143" s="168"/>
      <c r="B143" s="166" t="s">
        <v>801</v>
      </c>
      <c r="C143" s="184">
        <v>302</v>
      </c>
      <c r="D143" s="175">
        <v>124461</v>
      </c>
      <c r="E143" s="101">
        <f t="shared" si="7"/>
        <v>124461</v>
      </c>
      <c r="F143" s="169"/>
      <c r="G143" s="304">
        <f t="shared" si="6"/>
        <v>2.4084022103869299E-2</v>
      </c>
      <c r="H143" s="300">
        <f t="shared" si="8"/>
        <v>1.2042011051934649E-2</v>
      </c>
      <c r="I143" s="166" t="s">
        <v>801</v>
      </c>
    </row>
    <row r="144" spans="1:9" ht="13.8" x14ac:dyDescent="0.3">
      <c r="A144" s="168"/>
      <c r="B144" s="166" t="s">
        <v>802</v>
      </c>
      <c r="C144" s="184">
        <v>135</v>
      </c>
      <c r="D144" s="175">
        <v>65758</v>
      </c>
      <c r="E144" s="101">
        <f t="shared" si="7"/>
        <v>65758</v>
      </c>
      <c r="F144" s="169"/>
      <c r="G144" s="304">
        <f t="shared" si="6"/>
        <v>1.2724605502978744E-2</v>
      </c>
      <c r="H144" s="300">
        <f t="shared" si="8"/>
        <v>1.2724605502978744E-2</v>
      </c>
      <c r="I144" s="166" t="s">
        <v>802</v>
      </c>
    </row>
    <row r="145" spans="1:9" ht="13.8" x14ac:dyDescent="0.3">
      <c r="A145" s="168"/>
      <c r="B145" s="166" t="s">
        <v>803</v>
      </c>
      <c r="C145" s="184">
        <v>254</v>
      </c>
      <c r="D145" s="175">
        <v>163124</v>
      </c>
      <c r="E145" s="101">
        <f t="shared" si="7"/>
        <v>163124</v>
      </c>
      <c r="F145" s="169"/>
      <c r="G145" s="304">
        <f t="shared" si="6"/>
        <v>3.1565566897836073E-2</v>
      </c>
      <c r="H145" s="300">
        <f t="shared" si="8"/>
        <v>1.5782783448918036E-2</v>
      </c>
      <c r="I145" s="166" t="s">
        <v>803</v>
      </c>
    </row>
    <row r="146" spans="1:9" ht="13.8" x14ac:dyDescent="0.3">
      <c r="A146" s="168"/>
      <c r="B146" s="166" t="s">
        <v>804</v>
      </c>
      <c r="C146" s="184">
        <v>238</v>
      </c>
      <c r="D146" s="175">
        <v>76221</v>
      </c>
      <c r="E146" s="101">
        <f t="shared" si="7"/>
        <v>76221</v>
      </c>
      <c r="F146" s="169"/>
      <c r="G146" s="304">
        <f t="shared" si="6"/>
        <v>1.4749264820136604E-2</v>
      </c>
      <c r="H146" s="300">
        <f t="shared" si="8"/>
        <v>7.3746324100683021E-3</v>
      </c>
      <c r="I146" s="166" t="s">
        <v>804</v>
      </c>
    </row>
    <row r="147" spans="1:9" ht="13.8" x14ac:dyDescent="0.3">
      <c r="A147" s="168"/>
      <c r="B147" s="166" t="s">
        <v>805</v>
      </c>
      <c r="C147" s="184">
        <v>6</v>
      </c>
      <c r="D147" s="175">
        <v>2546</v>
      </c>
      <c r="E147" s="101">
        <f t="shared" si="7"/>
        <v>2546</v>
      </c>
      <c r="F147" s="169"/>
      <c r="G147" s="304">
        <f t="shared" si="6"/>
        <v>4.926677455303367E-4</v>
      </c>
      <c r="H147" s="300">
        <f t="shared" si="8"/>
        <v>4.926677455303367E-4</v>
      </c>
      <c r="I147" s="166" t="s">
        <v>805</v>
      </c>
    </row>
    <row r="148" spans="1:9" ht="13.8" x14ac:dyDescent="0.3">
      <c r="A148" s="168"/>
      <c r="B148" s="166" t="s">
        <v>806</v>
      </c>
      <c r="C148" s="184">
        <v>353</v>
      </c>
      <c r="D148" s="175">
        <v>276147</v>
      </c>
      <c r="E148" s="101">
        <f t="shared" si="7"/>
        <v>276147</v>
      </c>
      <c r="F148" s="169"/>
      <c r="G148" s="304">
        <f t="shared" si="6"/>
        <v>5.3436260771785503E-2</v>
      </c>
      <c r="H148" s="300">
        <f t="shared" si="8"/>
        <v>2.6718130385892751E-2</v>
      </c>
      <c r="I148" s="166" t="s">
        <v>806</v>
      </c>
    </row>
    <row r="149" spans="1:9" ht="13.8" x14ac:dyDescent="0.3">
      <c r="A149" s="168"/>
      <c r="B149" s="166" t="s">
        <v>807</v>
      </c>
      <c r="C149" s="184">
        <v>245</v>
      </c>
      <c r="D149" s="175">
        <v>122530</v>
      </c>
      <c r="E149" s="101">
        <f t="shared" si="7"/>
        <v>122530</v>
      </c>
      <c r="F149" s="169"/>
      <c r="G149" s="304">
        <f t="shared" si="6"/>
        <v>2.3710360903311922E-2</v>
      </c>
      <c r="H149" s="300">
        <f t="shared" si="8"/>
        <v>1.1855180451655961E-2</v>
      </c>
      <c r="I149" s="166" t="s">
        <v>807</v>
      </c>
    </row>
    <row r="150" spans="1:9" ht="13.8" x14ac:dyDescent="0.3">
      <c r="A150" s="168"/>
      <c r="B150" s="166" t="s">
        <v>808</v>
      </c>
      <c r="C150" s="184">
        <v>1202</v>
      </c>
      <c r="D150" s="175">
        <v>601162</v>
      </c>
      <c r="E150" s="101">
        <f t="shared" si="7"/>
        <v>601162</v>
      </c>
      <c r="F150" s="169"/>
      <c r="G150" s="304">
        <f t="shared" si="6"/>
        <v>0.11632880095778016</v>
      </c>
      <c r="H150" s="300">
        <f t="shared" si="8"/>
        <v>2.9082200239445039E-2</v>
      </c>
      <c r="I150" s="166" t="s">
        <v>808</v>
      </c>
    </row>
    <row r="151" spans="1:9" ht="13.8" x14ac:dyDescent="0.3">
      <c r="A151" s="168"/>
      <c r="B151" s="166" t="s">
        <v>809</v>
      </c>
      <c r="C151" s="184">
        <v>452</v>
      </c>
      <c r="D151" s="175">
        <v>150757</v>
      </c>
      <c r="E151" s="101">
        <f t="shared" si="7"/>
        <v>150757</v>
      </c>
      <c r="F151" s="169"/>
      <c r="G151" s="304">
        <f t="shared" si="6"/>
        <v>2.9172471057705016E-2</v>
      </c>
      <c r="H151" s="300">
        <f t="shared" si="8"/>
        <v>9.7241570192350048E-3</v>
      </c>
      <c r="I151" s="166" t="s">
        <v>809</v>
      </c>
    </row>
    <row r="152" spans="1:9" ht="13.8" x14ac:dyDescent="0.3">
      <c r="A152" s="168"/>
      <c r="B152" s="166" t="s">
        <v>810</v>
      </c>
      <c r="C152" s="184">
        <v>132</v>
      </c>
      <c r="D152" s="175">
        <v>51992</v>
      </c>
      <c r="E152" s="101">
        <f t="shared" si="7"/>
        <v>51992</v>
      </c>
      <c r="F152" s="169"/>
      <c r="G152" s="304">
        <f t="shared" si="6"/>
        <v>1.0060793961356349E-2</v>
      </c>
      <c r="H152" s="300">
        <f t="shared" si="8"/>
        <v>1.0060793961356349E-2</v>
      </c>
      <c r="I152" s="166" t="s">
        <v>810</v>
      </c>
    </row>
    <row r="153" spans="1:9" ht="13.8" x14ac:dyDescent="0.3">
      <c r="A153" s="168"/>
      <c r="B153" s="166" t="s">
        <v>811</v>
      </c>
      <c r="C153" s="184">
        <v>830</v>
      </c>
      <c r="D153" s="175">
        <v>207257</v>
      </c>
      <c r="E153" s="101">
        <f t="shared" si="7"/>
        <v>207257</v>
      </c>
      <c r="F153" s="169"/>
      <c r="G153" s="304">
        <f t="shared" si="6"/>
        <v>4.0105592669042026E-2</v>
      </c>
      <c r="H153" s="300">
        <f t="shared" si="8"/>
        <v>1.0026398167260506E-2</v>
      </c>
      <c r="I153" s="166" t="s">
        <v>811</v>
      </c>
    </row>
    <row r="154" spans="1:9" ht="13.8" x14ac:dyDescent="0.3">
      <c r="A154" s="168"/>
      <c r="B154" s="166" t="s">
        <v>812</v>
      </c>
      <c r="C154" s="184">
        <v>721</v>
      </c>
      <c r="D154" s="175">
        <v>266248</v>
      </c>
      <c r="E154" s="101">
        <f t="shared" si="7"/>
        <v>266248</v>
      </c>
      <c r="F154" s="169"/>
      <c r="G154" s="304">
        <f t="shared" si="6"/>
        <v>5.1520739164163817E-2</v>
      </c>
      <c r="H154" s="300">
        <f t="shared" si="8"/>
        <v>1.717357972138794E-2</v>
      </c>
      <c r="I154" s="166" t="s">
        <v>812</v>
      </c>
    </row>
    <row r="155" spans="1:9" ht="13.8" x14ac:dyDescent="0.3">
      <c r="A155" s="168"/>
      <c r="B155" s="166" t="s">
        <v>813</v>
      </c>
      <c r="C155" s="184">
        <v>252</v>
      </c>
      <c r="D155" s="175">
        <v>118507</v>
      </c>
      <c r="E155" s="101">
        <f t="shared" si="7"/>
        <v>118507</v>
      </c>
      <c r="F155" s="169"/>
      <c r="G155" s="304">
        <f t="shared" si="6"/>
        <v>2.2931883943269289E-2</v>
      </c>
      <c r="H155" s="300">
        <f t="shared" si="8"/>
        <v>1.1465941971634645E-2</v>
      </c>
      <c r="I155" s="166" t="s">
        <v>813</v>
      </c>
    </row>
    <row r="156" spans="1:9" ht="13.8" x14ac:dyDescent="0.3">
      <c r="A156" s="168"/>
      <c r="B156" s="166" t="s">
        <v>814</v>
      </c>
      <c r="C156" s="184">
        <v>761</v>
      </c>
      <c r="D156" s="175">
        <v>273142</v>
      </c>
      <c r="E156" s="101">
        <f t="shared" si="7"/>
        <v>273142</v>
      </c>
      <c r="F156" s="169"/>
      <c r="G156" s="304">
        <f t="shared" si="6"/>
        <v>5.2854773507324128E-2</v>
      </c>
      <c r="H156" s="300">
        <f t="shared" si="8"/>
        <v>1.7618257835774708E-2</v>
      </c>
      <c r="I156" s="166" t="s">
        <v>814</v>
      </c>
    </row>
    <row r="157" spans="1:9" ht="13.8" x14ac:dyDescent="0.3">
      <c r="A157" s="168"/>
      <c r="B157" s="166" t="s">
        <v>815</v>
      </c>
      <c r="C157" s="184">
        <v>146</v>
      </c>
      <c r="D157" s="175">
        <v>21580</v>
      </c>
      <c r="E157" s="101">
        <f t="shared" si="7"/>
        <v>21580</v>
      </c>
      <c r="F157" s="169"/>
      <c r="G157" s="304">
        <f t="shared" si="6"/>
        <v>4.1758719357991615E-3</v>
      </c>
      <c r="H157" s="300">
        <f t="shared" si="8"/>
        <v>4.1758719357991615E-3</v>
      </c>
      <c r="I157" s="166" t="s">
        <v>815</v>
      </c>
    </row>
    <row r="158" spans="1:9" ht="13.8" x14ac:dyDescent="0.3">
      <c r="A158" s="168"/>
      <c r="B158" s="166" t="s">
        <v>816</v>
      </c>
      <c r="C158" s="184">
        <v>158</v>
      </c>
      <c r="D158" s="175">
        <v>130681</v>
      </c>
      <c r="E158" s="101">
        <f t="shared" si="7"/>
        <v>130681</v>
      </c>
      <c r="F158" s="169"/>
      <c r="G158" s="304">
        <f t="shared" si="6"/>
        <v>2.5287633014002331E-2</v>
      </c>
      <c r="H158" s="300">
        <f t="shared" si="8"/>
        <v>2.5287633014002331E-2</v>
      </c>
      <c r="I158" s="166" t="s">
        <v>816</v>
      </c>
    </row>
    <row r="159" spans="1:9" ht="15" customHeight="1" x14ac:dyDescent="0.3">
      <c r="A159" s="170"/>
      <c r="B159" s="171" t="s">
        <v>10</v>
      </c>
      <c r="C159" s="228"/>
      <c r="D159" s="297"/>
      <c r="E159" s="174">
        <f>SUM(E123:E158)</f>
        <v>5167783</v>
      </c>
      <c r="F159" s="173" t="s">
        <v>6</v>
      </c>
      <c r="H159" s="165"/>
    </row>
    <row r="160" spans="1:9" ht="6.6" customHeight="1" x14ac:dyDescent="0.25">
      <c r="A160" s="369"/>
      <c r="B160" s="370"/>
      <c r="C160" s="370"/>
      <c r="D160" s="370"/>
      <c r="E160" s="370"/>
      <c r="F160" s="371"/>
      <c r="H160" s="165"/>
    </row>
    <row r="161" spans="1:9" ht="15" customHeight="1" x14ac:dyDescent="0.25">
      <c r="A161" s="291" t="s">
        <v>29</v>
      </c>
      <c r="B161" s="292" t="str">
        <f>'Planilha Orçamentária'!D10</f>
        <v>Administrativo Local da Regularização Fundiária com Geração de Relatório</v>
      </c>
      <c r="C161" s="288"/>
      <c r="D161" s="289"/>
      <c r="E161" s="288"/>
      <c r="F161" s="290"/>
    </row>
    <row r="162" spans="1:9" ht="15" customHeight="1" x14ac:dyDescent="0.3">
      <c r="A162" s="168" t="s">
        <v>273</v>
      </c>
      <c r="B162" s="166" t="s">
        <v>760</v>
      </c>
      <c r="C162" s="184">
        <f>COUNTA(Cronograma!$E$6:$AZ$6)</f>
        <v>48</v>
      </c>
      <c r="D162" s="167"/>
      <c r="E162" s="101">
        <f>C162/C162</f>
        <v>1</v>
      </c>
      <c r="F162" s="169"/>
      <c r="H162" s="300"/>
    </row>
    <row r="163" spans="1:9" ht="65.400000000000006" customHeight="1" x14ac:dyDescent="0.25">
      <c r="A163" s="373" t="s">
        <v>761</v>
      </c>
      <c r="B163" s="374"/>
      <c r="C163" s="374"/>
      <c r="D163" s="374"/>
      <c r="E163" s="374"/>
      <c r="F163" s="375"/>
      <c r="H163" s="300"/>
    </row>
    <row r="164" spans="1:9" ht="15" customHeight="1" x14ac:dyDescent="0.3">
      <c r="A164" s="170"/>
      <c r="B164" s="171" t="s">
        <v>10</v>
      </c>
      <c r="C164" s="228"/>
      <c r="D164" s="172"/>
      <c r="E164" s="174">
        <f>SUM(E162:E162)</f>
        <v>1</v>
      </c>
      <c r="F164" s="173" t="s">
        <v>752</v>
      </c>
    </row>
    <row r="165" spans="1:9" ht="7.2" customHeight="1" x14ac:dyDescent="0.25">
      <c r="A165" s="369"/>
      <c r="B165" s="370"/>
      <c r="C165" s="370"/>
      <c r="D165" s="370"/>
      <c r="E165" s="370"/>
      <c r="F165" s="371"/>
    </row>
    <row r="166" spans="1:9" ht="15" customHeight="1" x14ac:dyDescent="0.25">
      <c r="A166" s="291" t="s">
        <v>32</v>
      </c>
      <c r="B166" s="287" t="str">
        <f>'Planilha Orçamentária'!D11</f>
        <v>Cadastro Físico e Selagem</v>
      </c>
      <c r="C166" s="288"/>
      <c r="D166" s="289"/>
      <c r="E166" s="288"/>
      <c r="F166" s="290"/>
    </row>
    <row r="167" spans="1:9" ht="13.8" x14ac:dyDescent="0.3">
      <c r="A167" s="168"/>
      <c r="B167" s="166" t="s">
        <v>779</v>
      </c>
      <c r="C167" s="184">
        <v>724</v>
      </c>
      <c r="D167" s="167"/>
      <c r="E167" s="101">
        <f>C167</f>
        <v>724</v>
      </c>
      <c r="F167" s="169"/>
      <c r="G167" s="304">
        <f t="shared" ref="G167:G184" si="9">E167/$E$203</f>
        <v>5.3380520533805202E-2</v>
      </c>
      <c r="H167" s="300">
        <f t="shared" ref="H167:H202" si="10">IF(C167&lt;100,G167,IF(AND(C167&gt;=100,C167&lt;250),G167/2,IF(AND(C167&gt;=250,C167&lt;500),G167/3,IF(AND(C167&gt;=500,C167&lt;800),G167/4,IF(C167&gt;=800,G167/5)))))</f>
        <v>1.3345130133451301E-2</v>
      </c>
      <c r="I167" s="166" t="s">
        <v>779</v>
      </c>
    </row>
    <row r="168" spans="1:9" ht="13.8" x14ac:dyDescent="0.3">
      <c r="A168" s="168"/>
      <c r="B168" s="166" t="s">
        <v>782</v>
      </c>
      <c r="C168" s="184">
        <v>429</v>
      </c>
      <c r="D168" s="167"/>
      <c r="E168" s="101">
        <f t="shared" ref="E168:E202" si="11">C168</f>
        <v>429</v>
      </c>
      <c r="F168" s="169"/>
      <c r="G168" s="304">
        <f t="shared" si="9"/>
        <v>3.1630170316301706E-2</v>
      </c>
      <c r="H168" s="300">
        <f t="shared" si="10"/>
        <v>1.0543390105433903E-2</v>
      </c>
      <c r="I168" s="166" t="s">
        <v>782</v>
      </c>
    </row>
    <row r="169" spans="1:9" ht="13.8" x14ac:dyDescent="0.3">
      <c r="A169" s="168"/>
      <c r="B169" s="166" t="s">
        <v>783</v>
      </c>
      <c r="C169" s="184">
        <v>841</v>
      </c>
      <c r="D169" s="167"/>
      <c r="E169" s="101">
        <f t="shared" si="11"/>
        <v>841</v>
      </c>
      <c r="F169" s="169"/>
      <c r="G169" s="304">
        <f t="shared" si="9"/>
        <v>6.2006930620069303E-2</v>
      </c>
      <c r="H169" s="300">
        <f t="shared" si="10"/>
        <v>1.240138612401386E-2</v>
      </c>
      <c r="I169" s="166" t="s">
        <v>783</v>
      </c>
    </row>
    <row r="170" spans="1:9" ht="13.8" x14ac:dyDescent="0.3">
      <c r="A170" s="168"/>
      <c r="B170" s="166" t="s">
        <v>784</v>
      </c>
      <c r="C170" s="184">
        <v>216</v>
      </c>
      <c r="D170" s="167"/>
      <c r="E170" s="101">
        <f t="shared" si="11"/>
        <v>216</v>
      </c>
      <c r="F170" s="169"/>
      <c r="G170" s="304">
        <f t="shared" si="9"/>
        <v>1.5925680159256803E-2</v>
      </c>
      <c r="H170" s="300">
        <f t="shared" si="10"/>
        <v>7.9628400796284016E-3</v>
      </c>
      <c r="I170" s="166" t="s">
        <v>784</v>
      </c>
    </row>
    <row r="171" spans="1:9" ht="13.8" x14ac:dyDescent="0.3">
      <c r="A171" s="168"/>
      <c r="B171" s="166" t="s">
        <v>785</v>
      </c>
      <c r="C171" s="184">
        <v>668</v>
      </c>
      <c r="D171" s="167"/>
      <c r="E171" s="101">
        <f t="shared" si="11"/>
        <v>668</v>
      </c>
      <c r="F171" s="169"/>
      <c r="G171" s="304">
        <f t="shared" si="9"/>
        <v>4.9251640492516402E-2</v>
      </c>
      <c r="H171" s="300">
        <f t="shared" si="10"/>
        <v>1.23129101231291E-2</v>
      </c>
      <c r="I171" s="166" t="s">
        <v>785</v>
      </c>
    </row>
    <row r="172" spans="1:9" ht="13.8" x14ac:dyDescent="0.3">
      <c r="A172" s="168"/>
      <c r="B172" s="166" t="s">
        <v>786</v>
      </c>
      <c r="C172" s="184">
        <v>276</v>
      </c>
      <c r="D172" s="167"/>
      <c r="E172" s="101">
        <f t="shared" si="11"/>
        <v>276</v>
      </c>
      <c r="F172" s="169"/>
      <c r="G172" s="304">
        <f t="shared" si="9"/>
        <v>2.0349480203494801E-2</v>
      </c>
      <c r="H172" s="300">
        <f t="shared" si="10"/>
        <v>6.7831600678316005E-3</v>
      </c>
      <c r="I172" s="166" t="s">
        <v>786</v>
      </c>
    </row>
    <row r="173" spans="1:9" ht="13.8" x14ac:dyDescent="0.3">
      <c r="A173" s="168"/>
      <c r="B173" s="166" t="s">
        <v>787</v>
      </c>
      <c r="C173" s="184">
        <v>5</v>
      </c>
      <c r="D173" s="167"/>
      <c r="E173" s="101">
        <f t="shared" si="11"/>
        <v>5</v>
      </c>
      <c r="F173" s="169"/>
      <c r="G173" s="304">
        <f t="shared" si="9"/>
        <v>3.6865000368650004E-4</v>
      </c>
      <c r="H173" s="300">
        <f t="shared" si="10"/>
        <v>3.6865000368650004E-4</v>
      </c>
      <c r="I173" s="166" t="s">
        <v>787</v>
      </c>
    </row>
    <row r="174" spans="1:9" ht="13.8" x14ac:dyDescent="0.3">
      <c r="A174" s="168"/>
      <c r="B174" s="166" t="s">
        <v>788</v>
      </c>
      <c r="C174" s="184">
        <v>759</v>
      </c>
      <c r="D174" s="167"/>
      <c r="E174" s="101">
        <f t="shared" si="11"/>
        <v>759</v>
      </c>
      <c r="F174" s="169"/>
      <c r="G174" s="304">
        <f t="shared" si="9"/>
        <v>5.5961070559610707E-2</v>
      </c>
      <c r="H174" s="300">
        <f t="shared" si="10"/>
        <v>1.3990267639902677E-2</v>
      </c>
      <c r="I174" s="166" t="s">
        <v>788</v>
      </c>
    </row>
    <row r="175" spans="1:9" ht="13.8" x14ac:dyDescent="0.3">
      <c r="A175" s="168"/>
      <c r="B175" s="166" t="s">
        <v>789</v>
      </c>
      <c r="C175" s="184">
        <v>776</v>
      </c>
      <c r="D175" s="167"/>
      <c r="E175" s="101">
        <f t="shared" si="11"/>
        <v>776</v>
      </c>
      <c r="F175" s="169"/>
      <c r="G175" s="304">
        <f t="shared" si="9"/>
        <v>5.7214480572144809E-2</v>
      </c>
      <c r="H175" s="300">
        <f t="shared" si="10"/>
        <v>1.4303620143036202E-2</v>
      </c>
      <c r="I175" s="166" t="s">
        <v>789</v>
      </c>
    </row>
    <row r="176" spans="1:9" ht="13.8" x14ac:dyDescent="0.3">
      <c r="A176" s="168"/>
      <c r="B176" s="166" t="s">
        <v>790</v>
      </c>
      <c r="C176" s="184">
        <v>323</v>
      </c>
      <c r="D176" s="167"/>
      <c r="E176" s="101">
        <f t="shared" si="11"/>
        <v>323</v>
      </c>
      <c r="F176" s="169"/>
      <c r="G176" s="304">
        <f t="shared" si="9"/>
        <v>2.3814790238147903E-2</v>
      </c>
      <c r="H176" s="300">
        <f t="shared" si="10"/>
        <v>7.9382634127159683E-3</v>
      </c>
      <c r="I176" s="166" t="s">
        <v>790</v>
      </c>
    </row>
    <row r="177" spans="1:9" ht="13.8" x14ac:dyDescent="0.3">
      <c r="A177" s="168"/>
      <c r="B177" s="166" t="s">
        <v>791</v>
      </c>
      <c r="C177" s="184">
        <v>732</v>
      </c>
      <c r="D177" s="167"/>
      <c r="E177" s="101">
        <f t="shared" si="11"/>
        <v>732</v>
      </c>
      <c r="F177" s="169"/>
      <c r="G177" s="304">
        <f t="shared" si="9"/>
        <v>5.3970360539703603E-2</v>
      </c>
      <c r="H177" s="300">
        <f t="shared" si="10"/>
        <v>1.3492590134925901E-2</v>
      </c>
      <c r="I177" s="166" t="s">
        <v>791</v>
      </c>
    </row>
    <row r="178" spans="1:9" ht="13.8" x14ac:dyDescent="0.3">
      <c r="A178" s="168"/>
      <c r="B178" s="166" t="s">
        <v>792</v>
      </c>
      <c r="C178" s="184">
        <v>189</v>
      </c>
      <c r="D178" s="167"/>
      <c r="E178" s="101">
        <f t="shared" si="11"/>
        <v>189</v>
      </c>
      <c r="F178" s="169"/>
      <c r="G178" s="304">
        <f t="shared" si="9"/>
        <v>1.3934970139349702E-2</v>
      </c>
      <c r="H178" s="300">
        <f t="shared" si="10"/>
        <v>6.9674850696748508E-3</v>
      </c>
      <c r="I178" s="166" t="s">
        <v>792</v>
      </c>
    </row>
    <row r="179" spans="1:9" ht="13.8" x14ac:dyDescent="0.3">
      <c r="A179" s="168"/>
      <c r="B179" s="166" t="s">
        <v>793</v>
      </c>
      <c r="C179" s="184">
        <v>921</v>
      </c>
      <c r="D179" s="167"/>
      <c r="E179" s="101">
        <f t="shared" si="11"/>
        <v>921</v>
      </c>
      <c r="F179" s="169"/>
      <c r="G179" s="304">
        <f t="shared" si="9"/>
        <v>6.7905330679053313E-2</v>
      </c>
      <c r="H179" s="300">
        <f t="shared" si="10"/>
        <v>1.3581066135810662E-2</v>
      </c>
      <c r="I179" s="166" t="s">
        <v>793</v>
      </c>
    </row>
    <row r="180" spans="1:9" ht="13.8" x14ac:dyDescent="0.3">
      <c r="A180" s="168"/>
      <c r="B180" s="166" t="s">
        <v>794</v>
      </c>
      <c r="C180" s="184">
        <v>112</v>
      </c>
      <c r="D180" s="167"/>
      <c r="E180" s="101">
        <f t="shared" si="11"/>
        <v>112</v>
      </c>
      <c r="F180" s="169"/>
      <c r="G180" s="304">
        <f t="shared" si="9"/>
        <v>8.2577600825776004E-3</v>
      </c>
      <c r="H180" s="300">
        <f t="shared" si="10"/>
        <v>4.1288800412888002E-3</v>
      </c>
      <c r="I180" s="166" t="s">
        <v>794</v>
      </c>
    </row>
    <row r="181" spans="1:9" ht="13.8" x14ac:dyDescent="0.3">
      <c r="A181" s="168"/>
      <c r="B181" s="166" t="s">
        <v>795</v>
      </c>
      <c r="C181" s="184">
        <v>60</v>
      </c>
      <c r="D181" s="167"/>
      <c r="E181" s="101">
        <f t="shared" si="11"/>
        <v>60</v>
      </c>
      <c r="F181" s="169"/>
      <c r="G181" s="304">
        <f t="shared" si="9"/>
        <v>4.4238000442380007E-3</v>
      </c>
      <c r="H181" s="300">
        <f t="shared" si="10"/>
        <v>4.4238000442380007E-3</v>
      </c>
      <c r="I181" s="166" t="s">
        <v>795</v>
      </c>
    </row>
    <row r="182" spans="1:9" ht="13.8" x14ac:dyDescent="0.3">
      <c r="A182" s="168"/>
      <c r="B182" s="166" t="s">
        <v>796</v>
      </c>
      <c r="C182" s="184">
        <v>54</v>
      </c>
      <c r="D182" s="167"/>
      <c r="E182" s="101">
        <f t="shared" si="11"/>
        <v>54</v>
      </c>
      <c r="F182" s="169"/>
      <c r="G182" s="304">
        <f t="shared" si="9"/>
        <v>3.9814200398142008E-3</v>
      </c>
      <c r="H182" s="300">
        <f t="shared" si="10"/>
        <v>3.9814200398142008E-3</v>
      </c>
      <c r="I182" s="166" t="s">
        <v>796</v>
      </c>
    </row>
    <row r="183" spans="1:9" ht="13.8" x14ac:dyDescent="0.3">
      <c r="A183" s="168"/>
      <c r="B183" s="166" t="s">
        <v>797</v>
      </c>
      <c r="C183" s="184">
        <v>12</v>
      </c>
      <c r="D183" s="167"/>
      <c r="E183" s="101">
        <f t="shared" si="11"/>
        <v>12</v>
      </c>
      <c r="F183" s="169"/>
      <c r="G183" s="304">
        <f t="shared" si="9"/>
        <v>8.8476000884760012E-4</v>
      </c>
      <c r="H183" s="300">
        <f t="shared" si="10"/>
        <v>8.8476000884760012E-4</v>
      </c>
      <c r="I183" s="166" t="s">
        <v>797</v>
      </c>
    </row>
    <row r="184" spans="1:9" ht="13.8" x14ac:dyDescent="0.3">
      <c r="A184" s="168"/>
      <c r="B184" s="166" t="s">
        <v>798</v>
      </c>
      <c r="C184" s="365">
        <v>279</v>
      </c>
      <c r="D184" s="167"/>
      <c r="E184" s="366">
        <f t="shared" si="11"/>
        <v>279</v>
      </c>
      <c r="F184" s="169"/>
      <c r="G184" s="364">
        <f t="shared" si="9"/>
        <v>2.0570670205706701E-2</v>
      </c>
      <c r="H184" s="363">
        <f t="shared" si="10"/>
        <v>6.8568900685689006E-3</v>
      </c>
      <c r="I184" s="166" t="s">
        <v>798</v>
      </c>
    </row>
    <row r="185" spans="1:9" ht="13.8" x14ac:dyDescent="0.3">
      <c r="A185" s="168"/>
      <c r="B185" s="166" t="s">
        <v>799</v>
      </c>
      <c r="C185" s="365"/>
      <c r="D185" s="167"/>
      <c r="E185" s="366"/>
      <c r="F185" s="169"/>
      <c r="G185" s="364"/>
      <c r="H185" s="363"/>
      <c r="I185" s="166" t="s">
        <v>799</v>
      </c>
    </row>
    <row r="186" spans="1:9" ht="13.8" x14ac:dyDescent="0.3">
      <c r="A186" s="168"/>
      <c r="B186" s="166" t="s">
        <v>800</v>
      </c>
      <c r="C186" s="365"/>
      <c r="D186" s="167"/>
      <c r="E186" s="366"/>
      <c r="F186" s="169"/>
      <c r="G186" s="364"/>
      <c r="H186" s="363"/>
      <c r="I186" s="166" t="s">
        <v>800</v>
      </c>
    </row>
    <row r="187" spans="1:9" ht="13.8" x14ac:dyDescent="0.3">
      <c r="A187" s="168"/>
      <c r="B187" s="166" t="s">
        <v>801</v>
      </c>
      <c r="C187" s="184">
        <v>302</v>
      </c>
      <c r="D187" s="167"/>
      <c r="E187" s="101">
        <f t="shared" si="11"/>
        <v>302</v>
      </c>
      <c r="F187" s="169"/>
      <c r="G187" s="304">
        <f t="shared" ref="G187:G202" si="12">E187/$E$203</f>
        <v>2.2266460222664604E-2</v>
      </c>
      <c r="H187" s="300">
        <f t="shared" si="10"/>
        <v>7.4221534075548682E-3</v>
      </c>
      <c r="I187" s="166" t="s">
        <v>801</v>
      </c>
    </row>
    <row r="188" spans="1:9" ht="13.8" x14ac:dyDescent="0.3">
      <c r="A188" s="168"/>
      <c r="B188" s="166" t="s">
        <v>802</v>
      </c>
      <c r="C188" s="184">
        <v>135</v>
      </c>
      <c r="D188" s="167"/>
      <c r="E188" s="101">
        <f t="shared" si="11"/>
        <v>135</v>
      </c>
      <c r="F188" s="169"/>
      <c r="G188" s="304">
        <f t="shared" si="12"/>
        <v>9.9535500995355016E-3</v>
      </c>
      <c r="H188" s="300">
        <f t="shared" si="10"/>
        <v>4.9767750497677508E-3</v>
      </c>
      <c r="I188" s="166" t="s">
        <v>802</v>
      </c>
    </row>
    <row r="189" spans="1:9" ht="13.8" x14ac:dyDescent="0.3">
      <c r="A189" s="168"/>
      <c r="B189" s="166" t="s">
        <v>803</v>
      </c>
      <c r="C189" s="184">
        <v>254</v>
      </c>
      <c r="D189" s="167"/>
      <c r="E189" s="101">
        <f t="shared" si="11"/>
        <v>254</v>
      </c>
      <c r="F189" s="169"/>
      <c r="G189" s="304">
        <f t="shared" si="12"/>
        <v>1.8727420187274201E-2</v>
      </c>
      <c r="H189" s="300">
        <f t="shared" si="10"/>
        <v>6.2424733957580671E-3</v>
      </c>
      <c r="I189" s="166" t="s">
        <v>803</v>
      </c>
    </row>
    <row r="190" spans="1:9" ht="13.8" x14ac:dyDescent="0.3">
      <c r="A190" s="168"/>
      <c r="B190" s="166" t="s">
        <v>804</v>
      </c>
      <c r="C190" s="184">
        <v>238</v>
      </c>
      <c r="D190" s="167"/>
      <c r="E190" s="101">
        <f t="shared" si="11"/>
        <v>238</v>
      </c>
      <c r="F190" s="169"/>
      <c r="G190" s="304">
        <f t="shared" si="12"/>
        <v>1.7547740175477403E-2</v>
      </c>
      <c r="H190" s="300">
        <f t="shared" si="10"/>
        <v>8.7738700877387013E-3</v>
      </c>
      <c r="I190" s="166" t="s">
        <v>804</v>
      </c>
    </row>
    <row r="191" spans="1:9" ht="13.8" x14ac:dyDescent="0.3">
      <c r="A191" s="168"/>
      <c r="B191" s="166" t="s">
        <v>805</v>
      </c>
      <c r="C191" s="184">
        <v>6</v>
      </c>
      <c r="D191" s="167"/>
      <c r="E191" s="101">
        <f t="shared" si="11"/>
        <v>6</v>
      </c>
      <c r="F191" s="169"/>
      <c r="G191" s="304">
        <f t="shared" si="12"/>
        <v>4.4238000442380006E-4</v>
      </c>
      <c r="H191" s="300">
        <f t="shared" si="10"/>
        <v>4.4238000442380006E-4</v>
      </c>
      <c r="I191" s="166" t="s">
        <v>805</v>
      </c>
    </row>
    <row r="192" spans="1:9" ht="13.8" x14ac:dyDescent="0.3">
      <c r="A192" s="168"/>
      <c r="B192" s="166" t="s">
        <v>806</v>
      </c>
      <c r="C192" s="184">
        <v>353</v>
      </c>
      <c r="D192" s="167"/>
      <c r="E192" s="101">
        <f t="shared" si="11"/>
        <v>353</v>
      </c>
      <c r="F192" s="169"/>
      <c r="G192" s="304">
        <f t="shared" si="12"/>
        <v>2.6026690260266903E-2</v>
      </c>
      <c r="H192" s="300">
        <f t="shared" si="10"/>
        <v>8.6755634200889678E-3</v>
      </c>
      <c r="I192" s="166" t="s">
        <v>806</v>
      </c>
    </row>
    <row r="193" spans="1:9" ht="13.8" x14ac:dyDescent="0.3">
      <c r="A193" s="168"/>
      <c r="B193" s="166" t="s">
        <v>807</v>
      </c>
      <c r="C193" s="184">
        <v>245</v>
      </c>
      <c r="D193" s="167"/>
      <c r="E193" s="101">
        <f t="shared" si="11"/>
        <v>245</v>
      </c>
      <c r="F193" s="169"/>
      <c r="G193" s="304">
        <f t="shared" si="12"/>
        <v>1.8063850180638504E-2</v>
      </c>
      <c r="H193" s="300">
        <f t="shared" si="10"/>
        <v>9.0319250903192518E-3</v>
      </c>
      <c r="I193" s="166" t="s">
        <v>807</v>
      </c>
    </row>
    <row r="194" spans="1:9" ht="13.8" x14ac:dyDescent="0.3">
      <c r="A194" s="168"/>
      <c r="B194" s="166" t="s">
        <v>808</v>
      </c>
      <c r="C194" s="184">
        <v>1202</v>
      </c>
      <c r="D194" s="167"/>
      <c r="E194" s="101">
        <f t="shared" si="11"/>
        <v>1202</v>
      </c>
      <c r="F194" s="169"/>
      <c r="G194" s="304">
        <f t="shared" si="12"/>
        <v>8.8623460886234615E-2</v>
      </c>
      <c r="H194" s="300">
        <f t="shared" si="10"/>
        <v>1.7724692177246922E-2</v>
      </c>
      <c r="I194" s="166" t="s">
        <v>808</v>
      </c>
    </row>
    <row r="195" spans="1:9" ht="13.8" x14ac:dyDescent="0.3">
      <c r="A195" s="168"/>
      <c r="B195" s="166" t="s">
        <v>809</v>
      </c>
      <c r="C195" s="184">
        <v>452</v>
      </c>
      <c r="D195" s="167"/>
      <c r="E195" s="101">
        <f t="shared" si="11"/>
        <v>452</v>
      </c>
      <c r="F195" s="169"/>
      <c r="G195" s="304">
        <f t="shared" si="12"/>
        <v>3.3325960333259602E-2</v>
      </c>
      <c r="H195" s="300">
        <f t="shared" si="10"/>
        <v>1.1108653444419867E-2</v>
      </c>
      <c r="I195" s="166" t="s">
        <v>809</v>
      </c>
    </row>
    <row r="196" spans="1:9" ht="13.8" x14ac:dyDescent="0.3">
      <c r="A196" s="168"/>
      <c r="B196" s="166" t="s">
        <v>810</v>
      </c>
      <c r="C196" s="184">
        <v>132</v>
      </c>
      <c r="D196" s="167"/>
      <c r="E196" s="101">
        <f t="shared" si="11"/>
        <v>132</v>
      </c>
      <c r="F196" s="169"/>
      <c r="G196" s="304">
        <f t="shared" si="12"/>
        <v>9.7323600973236012E-3</v>
      </c>
      <c r="H196" s="300">
        <f t="shared" si="10"/>
        <v>4.8661800486618006E-3</v>
      </c>
      <c r="I196" s="166" t="s">
        <v>810</v>
      </c>
    </row>
    <row r="197" spans="1:9" ht="13.8" x14ac:dyDescent="0.3">
      <c r="A197" s="168"/>
      <c r="B197" s="166" t="s">
        <v>811</v>
      </c>
      <c r="C197" s="184">
        <v>830</v>
      </c>
      <c r="D197" s="167"/>
      <c r="E197" s="101">
        <f t="shared" si="11"/>
        <v>830</v>
      </c>
      <c r="F197" s="169"/>
      <c r="G197" s="304">
        <f t="shared" si="12"/>
        <v>6.1195900611959009E-2</v>
      </c>
      <c r="H197" s="300">
        <f t="shared" si="10"/>
        <v>1.2239180122391802E-2</v>
      </c>
      <c r="I197" s="166" t="s">
        <v>811</v>
      </c>
    </row>
    <row r="198" spans="1:9" ht="13.8" x14ac:dyDescent="0.3">
      <c r="A198" s="168"/>
      <c r="B198" s="166" t="s">
        <v>812</v>
      </c>
      <c r="C198" s="184">
        <v>721</v>
      </c>
      <c r="D198" s="167"/>
      <c r="E198" s="101">
        <f t="shared" si="11"/>
        <v>721</v>
      </c>
      <c r="F198" s="169"/>
      <c r="G198" s="304">
        <f t="shared" si="12"/>
        <v>5.3159330531593309E-2</v>
      </c>
      <c r="H198" s="300">
        <f t="shared" si="10"/>
        <v>1.3289832632898327E-2</v>
      </c>
      <c r="I198" s="166" t="s">
        <v>812</v>
      </c>
    </row>
    <row r="199" spans="1:9" ht="13.8" x14ac:dyDescent="0.3">
      <c r="A199" s="168"/>
      <c r="B199" s="166" t="s">
        <v>813</v>
      </c>
      <c r="C199" s="184">
        <v>252</v>
      </c>
      <c r="D199" s="167"/>
      <c r="E199" s="101">
        <f t="shared" si="11"/>
        <v>252</v>
      </c>
      <c r="F199" s="169"/>
      <c r="G199" s="304">
        <f t="shared" si="12"/>
        <v>1.8579960185799601E-2</v>
      </c>
      <c r="H199" s="300">
        <f t="shared" si="10"/>
        <v>6.1933200619332003E-3</v>
      </c>
      <c r="I199" s="166" t="s">
        <v>813</v>
      </c>
    </row>
    <row r="200" spans="1:9" ht="13.8" x14ac:dyDescent="0.3">
      <c r="A200" s="168"/>
      <c r="B200" s="166" t="s">
        <v>814</v>
      </c>
      <c r="C200" s="184">
        <v>761</v>
      </c>
      <c r="D200" s="167"/>
      <c r="E200" s="101">
        <f t="shared" si="11"/>
        <v>761</v>
      </c>
      <c r="F200" s="169"/>
      <c r="G200" s="304">
        <f t="shared" si="12"/>
        <v>5.6108530561085307E-2</v>
      </c>
      <c r="H200" s="300">
        <f t="shared" si="10"/>
        <v>1.4027132640271327E-2</v>
      </c>
      <c r="I200" s="166" t="s">
        <v>814</v>
      </c>
    </row>
    <row r="201" spans="1:9" ht="13.8" x14ac:dyDescent="0.3">
      <c r="A201" s="168"/>
      <c r="B201" s="166" t="s">
        <v>815</v>
      </c>
      <c r="C201" s="184">
        <v>146</v>
      </c>
      <c r="D201" s="167"/>
      <c r="E201" s="101">
        <f t="shared" si="11"/>
        <v>146</v>
      </c>
      <c r="F201" s="169"/>
      <c r="G201" s="304">
        <f t="shared" si="12"/>
        <v>1.0764580107645801E-2</v>
      </c>
      <c r="H201" s="300">
        <f t="shared" si="10"/>
        <v>5.3822900538229006E-3</v>
      </c>
      <c r="I201" s="166" t="s">
        <v>815</v>
      </c>
    </row>
    <row r="202" spans="1:9" ht="13.8" x14ac:dyDescent="0.3">
      <c r="A202" s="168"/>
      <c r="B202" s="166" t="s">
        <v>816</v>
      </c>
      <c r="C202" s="184">
        <v>158</v>
      </c>
      <c r="D202" s="167"/>
      <c r="E202" s="101">
        <f t="shared" si="11"/>
        <v>158</v>
      </c>
      <c r="F202" s="169"/>
      <c r="G202" s="304">
        <f t="shared" si="12"/>
        <v>1.1649340116493401E-2</v>
      </c>
      <c r="H202" s="300">
        <f t="shared" si="10"/>
        <v>5.8246700582467005E-3</v>
      </c>
      <c r="I202" s="166" t="s">
        <v>816</v>
      </c>
    </row>
    <row r="203" spans="1:9" ht="15" customHeight="1" x14ac:dyDescent="0.3">
      <c r="A203" s="170"/>
      <c r="B203" s="171" t="s">
        <v>10</v>
      </c>
      <c r="C203" s="228"/>
      <c r="D203" s="172"/>
      <c r="E203" s="174">
        <f>SUM(E167:E202)</f>
        <v>13563</v>
      </c>
      <c r="F203" s="173" t="s">
        <v>5</v>
      </c>
    </row>
    <row r="204" spans="1:9" ht="6.6" customHeight="1" x14ac:dyDescent="0.25">
      <c r="A204" s="369"/>
      <c r="B204" s="370"/>
      <c r="C204" s="370"/>
      <c r="D204" s="370"/>
      <c r="E204" s="370"/>
      <c r="F204" s="371"/>
    </row>
    <row r="205" spans="1:9" ht="15" customHeight="1" x14ac:dyDescent="0.25">
      <c r="A205" s="291" t="s">
        <v>41</v>
      </c>
      <c r="B205" s="287" t="str">
        <f>'Planilha Orçamentária'!D12</f>
        <v>Cadastro Social</v>
      </c>
      <c r="C205" s="288"/>
      <c r="D205" s="289"/>
      <c r="E205" s="288"/>
      <c r="F205" s="290"/>
    </row>
    <row r="206" spans="1:9" ht="13.8" x14ac:dyDescent="0.3">
      <c r="A206" s="168"/>
      <c r="B206" s="166" t="s">
        <v>779</v>
      </c>
      <c r="C206" s="184">
        <v>724</v>
      </c>
      <c r="D206" s="167"/>
      <c r="E206" s="101">
        <f>C206</f>
        <v>724</v>
      </c>
      <c r="F206" s="169"/>
      <c r="G206" s="304">
        <f t="shared" ref="G206:G223" si="13">E206/$E$242</f>
        <v>5.3380520533805202E-2</v>
      </c>
      <c r="H206" s="300">
        <f t="shared" ref="H206:H241" si="14">IF(C206&lt;100,G206,IF(AND(C206&gt;=100,C206&lt;250),G206/2,IF(AND(C206&gt;=250,C206&lt;500),G206/3,IF(AND(C206&gt;=500,C206&lt;800),G206/4,IF(C206&gt;=800,G206/5)))))</f>
        <v>1.3345130133451301E-2</v>
      </c>
      <c r="I206" s="166" t="s">
        <v>779</v>
      </c>
    </row>
    <row r="207" spans="1:9" ht="13.8" x14ac:dyDescent="0.3">
      <c r="A207" s="168"/>
      <c r="B207" s="166" t="s">
        <v>782</v>
      </c>
      <c r="C207" s="184">
        <v>429</v>
      </c>
      <c r="D207" s="167"/>
      <c r="E207" s="101">
        <f t="shared" ref="E207:E223" si="15">C207</f>
        <v>429</v>
      </c>
      <c r="F207" s="169"/>
      <c r="G207" s="304">
        <f t="shared" si="13"/>
        <v>3.1630170316301706E-2</v>
      </c>
      <c r="H207" s="300">
        <f t="shared" si="14"/>
        <v>1.0543390105433903E-2</v>
      </c>
      <c r="I207" s="166" t="s">
        <v>782</v>
      </c>
    </row>
    <row r="208" spans="1:9" ht="13.8" x14ac:dyDescent="0.3">
      <c r="A208" s="168"/>
      <c r="B208" s="166" t="s">
        <v>783</v>
      </c>
      <c r="C208" s="184">
        <v>841</v>
      </c>
      <c r="D208" s="167"/>
      <c r="E208" s="101">
        <f t="shared" si="15"/>
        <v>841</v>
      </c>
      <c r="F208" s="169"/>
      <c r="G208" s="304">
        <f t="shared" si="13"/>
        <v>6.2006930620069303E-2</v>
      </c>
      <c r="H208" s="300">
        <f t="shared" si="14"/>
        <v>1.240138612401386E-2</v>
      </c>
      <c r="I208" s="166" t="s">
        <v>783</v>
      </c>
    </row>
    <row r="209" spans="1:9" ht="13.8" x14ac:dyDescent="0.3">
      <c r="A209" s="168"/>
      <c r="B209" s="166" t="s">
        <v>784</v>
      </c>
      <c r="C209" s="184">
        <v>216</v>
      </c>
      <c r="D209" s="167"/>
      <c r="E209" s="101">
        <f t="shared" si="15"/>
        <v>216</v>
      </c>
      <c r="F209" s="169"/>
      <c r="G209" s="304">
        <f t="shared" si="13"/>
        <v>1.5925680159256803E-2</v>
      </c>
      <c r="H209" s="300">
        <f t="shared" si="14"/>
        <v>7.9628400796284016E-3</v>
      </c>
      <c r="I209" s="166" t="s">
        <v>784</v>
      </c>
    </row>
    <row r="210" spans="1:9" ht="13.8" x14ac:dyDescent="0.3">
      <c r="A210" s="168"/>
      <c r="B210" s="166" t="s">
        <v>785</v>
      </c>
      <c r="C210" s="184">
        <v>668</v>
      </c>
      <c r="D210" s="167"/>
      <c r="E210" s="101">
        <f t="shared" si="15"/>
        <v>668</v>
      </c>
      <c r="F210" s="169"/>
      <c r="G210" s="304">
        <f t="shared" si="13"/>
        <v>4.9251640492516402E-2</v>
      </c>
      <c r="H210" s="300">
        <f t="shared" si="14"/>
        <v>1.23129101231291E-2</v>
      </c>
      <c r="I210" s="166" t="s">
        <v>785</v>
      </c>
    </row>
    <row r="211" spans="1:9" ht="13.8" x14ac:dyDescent="0.3">
      <c r="A211" s="168"/>
      <c r="B211" s="166" t="s">
        <v>786</v>
      </c>
      <c r="C211" s="184">
        <v>276</v>
      </c>
      <c r="D211" s="167"/>
      <c r="E211" s="101">
        <f t="shared" si="15"/>
        <v>276</v>
      </c>
      <c r="F211" s="169"/>
      <c r="G211" s="304">
        <f t="shared" si="13"/>
        <v>2.0349480203494801E-2</v>
      </c>
      <c r="H211" s="300">
        <f t="shared" si="14"/>
        <v>6.7831600678316005E-3</v>
      </c>
      <c r="I211" s="166" t="s">
        <v>786</v>
      </c>
    </row>
    <row r="212" spans="1:9" ht="13.8" x14ac:dyDescent="0.3">
      <c r="A212" s="168"/>
      <c r="B212" s="166" t="s">
        <v>787</v>
      </c>
      <c r="C212" s="184">
        <v>5</v>
      </c>
      <c r="D212" s="167"/>
      <c r="E212" s="101">
        <f t="shared" si="15"/>
        <v>5</v>
      </c>
      <c r="F212" s="169"/>
      <c r="G212" s="304">
        <f t="shared" si="13"/>
        <v>3.6865000368650004E-4</v>
      </c>
      <c r="H212" s="300">
        <f t="shared" si="14"/>
        <v>3.6865000368650004E-4</v>
      </c>
      <c r="I212" s="166" t="s">
        <v>787</v>
      </c>
    </row>
    <row r="213" spans="1:9" ht="13.8" x14ac:dyDescent="0.3">
      <c r="A213" s="168"/>
      <c r="B213" s="166" t="s">
        <v>788</v>
      </c>
      <c r="C213" s="184">
        <v>759</v>
      </c>
      <c r="D213" s="167"/>
      <c r="E213" s="101">
        <f t="shared" si="15"/>
        <v>759</v>
      </c>
      <c r="F213" s="169"/>
      <c r="G213" s="304">
        <f t="shared" si="13"/>
        <v>5.5961070559610707E-2</v>
      </c>
      <c r="H213" s="300">
        <f t="shared" si="14"/>
        <v>1.3990267639902677E-2</v>
      </c>
      <c r="I213" s="166" t="s">
        <v>788</v>
      </c>
    </row>
    <row r="214" spans="1:9" ht="13.8" x14ac:dyDescent="0.3">
      <c r="A214" s="168"/>
      <c r="B214" s="166" t="s">
        <v>789</v>
      </c>
      <c r="C214" s="184">
        <v>776</v>
      </c>
      <c r="D214" s="167"/>
      <c r="E214" s="101">
        <f t="shared" si="15"/>
        <v>776</v>
      </c>
      <c r="F214" s="169"/>
      <c r="G214" s="304">
        <f t="shared" si="13"/>
        <v>5.7214480572144809E-2</v>
      </c>
      <c r="H214" s="300">
        <f t="shared" si="14"/>
        <v>1.4303620143036202E-2</v>
      </c>
      <c r="I214" s="166" t="s">
        <v>789</v>
      </c>
    </row>
    <row r="215" spans="1:9" ht="13.8" x14ac:dyDescent="0.3">
      <c r="A215" s="168"/>
      <c r="B215" s="166" t="s">
        <v>790</v>
      </c>
      <c r="C215" s="184">
        <v>323</v>
      </c>
      <c r="D215" s="167"/>
      <c r="E215" s="101">
        <f t="shared" si="15"/>
        <v>323</v>
      </c>
      <c r="F215" s="169"/>
      <c r="G215" s="304">
        <f t="shared" si="13"/>
        <v>2.3814790238147903E-2</v>
      </c>
      <c r="H215" s="300">
        <f t="shared" si="14"/>
        <v>7.9382634127159683E-3</v>
      </c>
      <c r="I215" s="166" t="s">
        <v>790</v>
      </c>
    </row>
    <row r="216" spans="1:9" ht="13.8" x14ac:dyDescent="0.3">
      <c r="A216" s="168"/>
      <c r="B216" s="166" t="s">
        <v>791</v>
      </c>
      <c r="C216" s="184">
        <v>732</v>
      </c>
      <c r="D216" s="167"/>
      <c r="E216" s="101">
        <f t="shared" si="15"/>
        <v>732</v>
      </c>
      <c r="F216" s="169"/>
      <c r="G216" s="304">
        <f t="shared" si="13"/>
        <v>5.3970360539703603E-2</v>
      </c>
      <c r="H216" s="300">
        <f t="shared" si="14"/>
        <v>1.3492590134925901E-2</v>
      </c>
      <c r="I216" s="166" t="s">
        <v>791</v>
      </c>
    </row>
    <row r="217" spans="1:9" ht="13.8" x14ac:dyDescent="0.3">
      <c r="A217" s="168"/>
      <c r="B217" s="166" t="s">
        <v>792</v>
      </c>
      <c r="C217" s="184">
        <v>189</v>
      </c>
      <c r="D217" s="167"/>
      <c r="E217" s="101">
        <f t="shared" si="15"/>
        <v>189</v>
      </c>
      <c r="F217" s="169"/>
      <c r="G217" s="304">
        <f t="shared" si="13"/>
        <v>1.3934970139349702E-2</v>
      </c>
      <c r="H217" s="300">
        <f t="shared" si="14"/>
        <v>6.9674850696748508E-3</v>
      </c>
      <c r="I217" s="166" t="s">
        <v>792</v>
      </c>
    </row>
    <row r="218" spans="1:9" ht="13.8" x14ac:dyDescent="0.3">
      <c r="A218" s="168"/>
      <c r="B218" s="166" t="s">
        <v>793</v>
      </c>
      <c r="C218" s="184">
        <v>921</v>
      </c>
      <c r="D218" s="167"/>
      <c r="E218" s="101">
        <f t="shared" si="15"/>
        <v>921</v>
      </c>
      <c r="F218" s="169"/>
      <c r="G218" s="304">
        <f t="shared" si="13"/>
        <v>6.7905330679053313E-2</v>
      </c>
      <c r="H218" s="300">
        <f t="shared" si="14"/>
        <v>1.3581066135810662E-2</v>
      </c>
      <c r="I218" s="166" t="s">
        <v>793</v>
      </c>
    </row>
    <row r="219" spans="1:9" ht="13.8" x14ac:dyDescent="0.3">
      <c r="A219" s="168"/>
      <c r="B219" s="166" t="s">
        <v>794</v>
      </c>
      <c r="C219" s="184">
        <v>112</v>
      </c>
      <c r="D219" s="167"/>
      <c r="E219" s="101">
        <f t="shared" si="15"/>
        <v>112</v>
      </c>
      <c r="F219" s="169"/>
      <c r="G219" s="304">
        <f t="shared" si="13"/>
        <v>8.2577600825776004E-3</v>
      </c>
      <c r="H219" s="300">
        <f t="shared" si="14"/>
        <v>4.1288800412888002E-3</v>
      </c>
      <c r="I219" s="166" t="s">
        <v>794</v>
      </c>
    </row>
    <row r="220" spans="1:9" ht="13.8" x14ac:dyDescent="0.3">
      <c r="A220" s="168"/>
      <c r="B220" s="166" t="s">
        <v>795</v>
      </c>
      <c r="C220" s="184">
        <v>60</v>
      </c>
      <c r="D220" s="167"/>
      <c r="E220" s="101">
        <f t="shared" si="15"/>
        <v>60</v>
      </c>
      <c r="F220" s="169"/>
      <c r="G220" s="304">
        <f t="shared" si="13"/>
        <v>4.4238000442380007E-3</v>
      </c>
      <c r="H220" s="300">
        <f t="shared" si="14"/>
        <v>4.4238000442380007E-3</v>
      </c>
      <c r="I220" s="166" t="s">
        <v>795</v>
      </c>
    </row>
    <row r="221" spans="1:9" ht="13.8" x14ac:dyDescent="0.3">
      <c r="A221" s="168"/>
      <c r="B221" s="166" t="s">
        <v>796</v>
      </c>
      <c r="C221" s="184">
        <v>54</v>
      </c>
      <c r="D221" s="167"/>
      <c r="E221" s="101">
        <f t="shared" si="15"/>
        <v>54</v>
      </c>
      <c r="F221" s="169"/>
      <c r="G221" s="304">
        <f t="shared" si="13"/>
        <v>3.9814200398142008E-3</v>
      </c>
      <c r="H221" s="300">
        <f t="shared" si="14"/>
        <v>3.9814200398142008E-3</v>
      </c>
      <c r="I221" s="166" t="s">
        <v>796</v>
      </c>
    </row>
    <row r="222" spans="1:9" ht="13.8" x14ac:dyDescent="0.3">
      <c r="A222" s="168"/>
      <c r="B222" s="166" t="s">
        <v>797</v>
      </c>
      <c r="C222" s="184">
        <v>12</v>
      </c>
      <c r="D222" s="167"/>
      <c r="E222" s="101">
        <f t="shared" si="15"/>
        <v>12</v>
      </c>
      <c r="F222" s="169"/>
      <c r="G222" s="304">
        <f t="shared" si="13"/>
        <v>8.8476000884760012E-4</v>
      </c>
      <c r="H222" s="300">
        <f t="shared" si="14"/>
        <v>8.8476000884760012E-4</v>
      </c>
      <c r="I222" s="166" t="s">
        <v>797</v>
      </c>
    </row>
    <row r="223" spans="1:9" ht="13.8" x14ac:dyDescent="0.3">
      <c r="A223" s="168"/>
      <c r="B223" s="166" t="s">
        <v>798</v>
      </c>
      <c r="C223" s="365">
        <v>279</v>
      </c>
      <c r="D223" s="167"/>
      <c r="E223" s="366">
        <f t="shared" si="15"/>
        <v>279</v>
      </c>
      <c r="F223" s="169"/>
      <c r="G223" s="364">
        <f t="shared" si="13"/>
        <v>2.0570670205706701E-2</v>
      </c>
      <c r="H223" s="363">
        <f t="shared" si="14"/>
        <v>6.8568900685689006E-3</v>
      </c>
      <c r="I223" s="166" t="s">
        <v>798</v>
      </c>
    </row>
    <row r="224" spans="1:9" ht="13.8" x14ac:dyDescent="0.3">
      <c r="A224" s="168"/>
      <c r="B224" s="166" t="s">
        <v>799</v>
      </c>
      <c r="C224" s="365"/>
      <c r="D224" s="167"/>
      <c r="E224" s="366"/>
      <c r="F224" s="169"/>
      <c r="G224" s="364"/>
      <c r="H224" s="363"/>
      <c r="I224" s="166" t="s">
        <v>799</v>
      </c>
    </row>
    <row r="225" spans="1:9" ht="13.8" x14ac:dyDescent="0.3">
      <c r="A225" s="168"/>
      <c r="B225" s="166" t="s">
        <v>800</v>
      </c>
      <c r="C225" s="365"/>
      <c r="D225" s="167"/>
      <c r="E225" s="366"/>
      <c r="F225" s="169"/>
      <c r="G225" s="364"/>
      <c r="H225" s="363"/>
      <c r="I225" s="166" t="s">
        <v>800</v>
      </c>
    </row>
    <row r="226" spans="1:9" ht="13.8" x14ac:dyDescent="0.3">
      <c r="A226" s="168"/>
      <c r="B226" s="166" t="s">
        <v>801</v>
      </c>
      <c r="C226" s="184">
        <v>302</v>
      </c>
      <c r="D226" s="167"/>
      <c r="E226" s="101">
        <f t="shared" ref="E226:E241" si="16">C226</f>
        <v>302</v>
      </c>
      <c r="F226" s="169"/>
      <c r="G226" s="304">
        <f t="shared" ref="G226:G241" si="17">E226/$E$242</f>
        <v>2.2266460222664604E-2</v>
      </c>
      <c r="H226" s="300">
        <f t="shared" si="14"/>
        <v>7.4221534075548682E-3</v>
      </c>
      <c r="I226" s="166" t="s">
        <v>801</v>
      </c>
    </row>
    <row r="227" spans="1:9" ht="13.8" x14ac:dyDescent="0.3">
      <c r="A227" s="168"/>
      <c r="B227" s="166" t="s">
        <v>802</v>
      </c>
      <c r="C227" s="184">
        <v>135</v>
      </c>
      <c r="D227" s="167"/>
      <c r="E227" s="101">
        <f t="shared" si="16"/>
        <v>135</v>
      </c>
      <c r="F227" s="169"/>
      <c r="G227" s="304">
        <f t="shared" si="17"/>
        <v>9.9535500995355016E-3</v>
      </c>
      <c r="H227" s="300">
        <f t="shared" si="14"/>
        <v>4.9767750497677508E-3</v>
      </c>
      <c r="I227" s="166" t="s">
        <v>802</v>
      </c>
    </row>
    <row r="228" spans="1:9" ht="13.8" x14ac:dyDescent="0.3">
      <c r="A228" s="168"/>
      <c r="B228" s="166" t="s">
        <v>803</v>
      </c>
      <c r="C228" s="184">
        <v>254</v>
      </c>
      <c r="D228" s="167"/>
      <c r="E228" s="101">
        <f t="shared" si="16"/>
        <v>254</v>
      </c>
      <c r="F228" s="169"/>
      <c r="G228" s="304">
        <f t="shared" si="17"/>
        <v>1.8727420187274201E-2</v>
      </c>
      <c r="H228" s="300">
        <f t="shared" si="14"/>
        <v>6.2424733957580671E-3</v>
      </c>
      <c r="I228" s="166" t="s">
        <v>803</v>
      </c>
    </row>
    <row r="229" spans="1:9" ht="13.8" x14ac:dyDescent="0.3">
      <c r="A229" s="168"/>
      <c r="B229" s="166" t="s">
        <v>804</v>
      </c>
      <c r="C229" s="184">
        <v>238</v>
      </c>
      <c r="D229" s="167"/>
      <c r="E229" s="101">
        <f t="shared" si="16"/>
        <v>238</v>
      </c>
      <c r="F229" s="169"/>
      <c r="G229" s="304">
        <f t="shared" si="17"/>
        <v>1.7547740175477403E-2</v>
      </c>
      <c r="H229" s="300">
        <f t="shared" si="14"/>
        <v>8.7738700877387013E-3</v>
      </c>
      <c r="I229" s="166" t="s">
        <v>804</v>
      </c>
    </row>
    <row r="230" spans="1:9" ht="13.8" x14ac:dyDescent="0.3">
      <c r="A230" s="168"/>
      <c r="B230" s="166" t="s">
        <v>805</v>
      </c>
      <c r="C230" s="184">
        <v>6</v>
      </c>
      <c r="D230" s="167"/>
      <c r="E230" s="101">
        <f t="shared" si="16"/>
        <v>6</v>
      </c>
      <c r="F230" s="169"/>
      <c r="G230" s="304">
        <f t="shared" si="17"/>
        <v>4.4238000442380006E-4</v>
      </c>
      <c r="H230" s="300">
        <f t="shared" si="14"/>
        <v>4.4238000442380006E-4</v>
      </c>
      <c r="I230" s="166" t="s">
        <v>805</v>
      </c>
    </row>
    <row r="231" spans="1:9" ht="13.8" x14ac:dyDescent="0.3">
      <c r="A231" s="168"/>
      <c r="B231" s="166" t="s">
        <v>806</v>
      </c>
      <c r="C231" s="184">
        <v>353</v>
      </c>
      <c r="D231" s="167"/>
      <c r="E231" s="101">
        <f t="shared" si="16"/>
        <v>353</v>
      </c>
      <c r="F231" s="169"/>
      <c r="G231" s="304">
        <f t="shared" si="17"/>
        <v>2.6026690260266903E-2</v>
      </c>
      <c r="H231" s="300">
        <f t="shared" si="14"/>
        <v>8.6755634200889678E-3</v>
      </c>
      <c r="I231" s="166" t="s">
        <v>806</v>
      </c>
    </row>
    <row r="232" spans="1:9" ht="13.8" x14ac:dyDescent="0.3">
      <c r="A232" s="168"/>
      <c r="B232" s="166" t="s">
        <v>807</v>
      </c>
      <c r="C232" s="184">
        <v>245</v>
      </c>
      <c r="D232" s="167"/>
      <c r="E232" s="101">
        <f t="shared" si="16"/>
        <v>245</v>
      </c>
      <c r="F232" s="169"/>
      <c r="G232" s="304">
        <f t="shared" si="17"/>
        <v>1.8063850180638504E-2</v>
      </c>
      <c r="H232" s="300">
        <f t="shared" si="14"/>
        <v>9.0319250903192518E-3</v>
      </c>
      <c r="I232" s="166" t="s">
        <v>807</v>
      </c>
    </row>
    <row r="233" spans="1:9" ht="13.8" x14ac:dyDescent="0.3">
      <c r="A233" s="168"/>
      <c r="B233" s="166" t="s">
        <v>808</v>
      </c>
      <c r="C233" s="184">
        <v>1202</v>
      </c>
      <c r="D233" s="167"/>
      <c r="E233" s="101">
        <f t="shared" si="16"/>
        <v>1202</v>
      </c>
      <c r="F233" s="169"/>
      <c r="G233" s="304">
        <f t="shared" si="17"/>
        <v>8.8623460886234615E-2</v>
      </c>
      <c r="H233" s="300">
        <f t="shared" si="14"/>
        <v>1.7724692177246922E-2</v>
      </c>
      <c r="I233" s="166" t="s">
        <v>808</v>
      </c>
    </row>
    <row r="234" spans="1:9" ht="13.8" x14ac:dyDescent="0.3">
      <c r="A234" s="168"/>
      <c r="B234" s="166" t="s">
        <v>809</v>
      </c>
      <c r="C234" s="184">
        <v>452</v>
      </c>
      <c r="D234" s="167"/>
      <c r="E234" s="101">
        <f t="shared" si="16"/>
        <v>452</v>
      </c>
      <c r="F234" s="169"/>
      <c r="G234" s="304">
        <f t="shared" si="17"/>
        <v>3.3325960333259602E-2</v>
      </c>
      <c r="H234" s="300">
        <f t="shared" si="14"/>
        <v>1.1108653444419867E-2</v>
      </c>
      <c r="I234" s="166" t="s">
        <v>809</v>
      </c>
    </row>
    <row r="235" spans="1:9" ht="13.8" x14ac:dyDescent="0.3">
      <c r="A235" s="168"/>
      <c r="B235" s="166" t="s">
        <v>810</v>
      </c>
      <c r="C235" s="184">
        <v>132</v>
      </c>
      <c r="D235" s="167"/>
      <c r="E235" s="101">
        <f t="shared" si="16"/>
        <v>132</v>
      </c>
      <c r="F235" s="169"/>
      <c r="G235" s="304">
        <f t="shared" si="17"/>
        <v>9.7323600973236012E-3</v>
      </c>
      <c r="H235" s="300">
        <f t="shared" si="14"/>
        <v>4.8661800486618006E-3</v>
      </c>
      <c r="I235" s="166" t="s">
        <v>810</v>
      </c>
    </row>
    <row r="236" spans="1:9" ht="13.8" x14ac:dyDescent="0.3">
      <c r="A236" s="168"/>
      <c r="B236" s="166" t="s">
        <v>811</v>
      </c>
      <c r="C236" s="184">
        <v>830</v>
      </c>
      <c r="D236" s="167"/>
      <c r="E236" s="101">
        <f t="shared" si="16"/>
        <v>830</v>
      </c>
      <c r="F236" s="169"/>
      <c r="G236" s="304">
        <f t="shared" si="17"/>
        <v>6.1195900611959009E-2</v>
      </c>
      <c r="H236" s="300">
        <f t="shared" si="14"/>
        <v>1.2239180122391802E-2</v>
      </c>
      <c r="I236" s="166" t="s">
        <v>811</v>
      </c>
    </row>
    <row r="237" spans="1:9" ht="13.8" x14ac:dyDescent="0.3">
      <c r="A237" s="168"/>
      <c r="B237" s="166" t="s">
        <v>812</v>
      </c>
      <c r="C237" s="184">
        <v>721</v>
      </c>
      <c r="D237" s="167"/>
      <c r="E237" s="101">
        <f t="shared" si="16"/>
        <v>721</v>
      </c>
      <c r="F237" s="169"/>
      <c r="G237" s="304">
        <f t="shared" si="17"/>
        <v>5.3159330531593309E-2</v>
      </c>
      <c r="H237" s="300">
        <f t="shared" si="14"/>
        <v>1.3289832632898327E-2</v>
      </c>
      <c r="I237" s="166" t="s">
        <v>812</v>
      </c>
    </row>
    <row r="238" spans="1:9" ht="13.8" x14ac:dyDescent="0.3">
      <c r="A238" s="168"/>
      <c r="B238" s="166" t="s">
        <v>813</v>
      </c>
      <c r="C238" s="184">
        <v>252</v>
      </c>
      <c r="D238" s="167"/>
      <c r="E238" s="101">
        <f t="shared" si="16"/>
        <v>252</v>
      </c>
      <c r="F238" s="169"/>
      <c r="G238" s="304">
        <f t="shared" si="17"/>
        <v>1.8579960185799601E-2</v>
      </c>
      <c r="H238" s="300">
        <f t="shared" si="14"/>
        <v>6.1933200619332003E-3</v>
      </c>
      <c r="I238" s="166" t="s">
        <v>813</v>
      </c>
    </row>
    <row r="239" spans="1:9" ht="13.8" x14ac:dyDescent="0.3">
      <c r="A239" s="168"/>
      <c r="B239" s="166" t="s">
        <v>814</v>
      </c>
      <c r="C239" s="184">
        <v>761</v>
      </c>
      <c r="D239" s="167"/>
      <c r="E239" s="101">
        <f t="shared" si="16"/>
        <v>761</v>
      </c>
      <c r="F239" s="169"/>
      <c r="G239" s="304">
        <f t="shared" si="17"/>
        <v>5.6108530561085307E-2</v>
      </c>
      <c r="H239" s="300">
        <f t="shared" si="14"/>
        <v>1.4027132640271327E-2</v>
      </c>
      <c r="I239" s="166" t="s">
        <v>814</v>
      </c>
    </row>
    <row r="240" spans="1:9" ht="13.8" x14ac:dyDescent="0.3">
      <c r="A240" s="168"/>
      <c r="B240" s="166" t="s">
        <v>815</v>
      </c>
      <c r="C240" s="184">
        <v>146</v>
      </c>
      <c r="D240" s="167"/>
      <c r="E240" s="101">
        <f t="shared" si="16"/>
        <v>146</v>
      </c>
      <c r="F240" s="169"/>
      <c r="G240" s="304">
        <f t="shared" si="17"/>
        <v>1.0764580107645801E-2</v>
      </c>
      <c r="H240" s="300">
        <f t="shared" si="14"/>
        <v>5.3822900538229006E-3</v>
      </c>
      <c r="I240" s="166" t="s">
        <v>815</v>
      </c>
    </row>
    <row r="241" spans="1:9" ht="13.8" x14ac:dyDescent="0.3">
      <c r="A241" s="168"/>
      <c r="B241" s="166" t="s">
        <v>816</v>
      </c>
      <c r="C241" s="184">
        <v>158</v>
      </c>
      <c r="D241" s="167"/>
      <c r="E241" s="101">
        <f t="shared" si="16"/>
        <v>158</v>
      </c>
      <c r="F241" s="169"/>
      <c r="G241" s="304">
        <f t="shared" si="17"/>
        <v>1.1649340116493401E-2</v>
      </c>
      <c r="H241" s="300">
        <f t="shared" si="14"/>
        <v>5.8246700582467005E-3</v>
      </c>
      <c r="I241" s="166" t="s">
        <v>816</v>
      </c>
    </row>
    <row r="242" spans="1:9" ht="15" customHeight="1" x14ac:dyDescent="0.3">
      <c r="A242" s="170"/>
      <c r="B242" s="171" t="s">
        <v>10</v>
      </c>
      <c r="C242" s="228"/>
      <c r="D242" s="172"/>
      <c r="E242" s="174">
        <f>SUM(E206:E241)</f>
        <v>13563</v>
      </c>
      <c r="F242" s="173" t="s">
        <v>5</v>
      </c>
    </row>
    <row r="243" spans="1:9" ht="6.6" customHeight="1" x14ac:dyDescent="0.25">
      <c r="A243" s="369"/>
      <c r="B243" s="370"/>
      <c r="C243" s="370"/>
      <c r="D243" s="370"/>
      <c r="E243" s="370"/>
      <c r="F243" s="371"/>
    </row>
    <row r="244" spans="1:9" ht="15" customHeight="1" x14ac:dyDescent="0.25">
      <c r="A244" s="291" t="s">
        <v>42</v>
      </c>
      <c r="B244" s="287" t="str">
        <f>'Planilha Orçamentária'!D13</f>
        <v>Projeto Urbanístico de Regularização Fundiária</v>
      </c>
      <c r="C244" s="288"/>
      <c r="D244" s="289"/>
      <c r="E244" s="288"/>
      <c r="F244" s="290"/>
    </row>
    <row r="245" spans="1:9" ht="13.8" x14ac:dyDescent="0.3">
      <c r="A245" s="168"/>
      <c r="B245" s="166" t="s">
        <v>779</v>
      </c>
      <c r="C245" s="184">
        <v>724</v>
      </c>
      <c r="D245" s="175">
        <v>203946</v>
      </c>
      <c r="E245" s="101">
        <f>D245</f>
        <v>203946</v>
      </c>
      <c r="F245" s="169"/>
      <c r="G245" s="304">
        <f t="shared" ref="G245:G280" si="18">E245/$E$281</f>
        <v>3.9464892391959959E-2</v>
      </c>
      <c r="H245" s="300">
        <f>IF(C245&lt;350,G245,IF(AND(C245&gt;=350,C245&lt;800),G245/2,IF(C245&gt;=800,G245/3)))</f>
        <v>1.9732446195979979E-2</v>
      </c>
      <c r="I245" s="166" t="s">
        <v>779</v>
      </c>
    </row>
    <row r="246" spans="1:9" ht="13.8" x14ac:dyDescent="0.3">
      <c r="A246" s="168"/>
      <c r="B246" s="166" t="s">
        <v>782</v>
      </c>
      <c r="C246" s="184">
        <v>429</v>
      </c>
      <c r="D246" s="175">
        <v>143285</v>
      </c>
      <c r="E246" s="101">
        <f t="shared" ref="E246:E280" si="19">D246</f>
        <v>143285</v>
      </c>
      <c r="F246" s="169"/>
      <c r="G246" s="304">
        <f t="shared" si="18"/>
        <v>2.7726589912927844E-2</v>
      </c>
      <c r="H246" s="300">
        <f t="shared" ref="H246:H280" si="20">IF(C246&lt;350,G246,IF(AND(C246&gt;=350,C246&lt;800),G246/2,IF(C246&gt;=800,G246/3)))</f>
        <v>1.3863294956463922E-2</v>
      </c>
      <c r="I246" s="166" t="s">
        <v>782</v>
      </c>
    </row>
    <row r="247" spans="1:9" ht="13.8" x14ac:dyDescent="0.3">
      <c r="A247" s="168"/>
      <c r="B247" s="166" t="s">
        <v>783</v>
      </c>
      <c r="C247" s="184">
        <v>841</v>
      </c>
      <c r="D247" s="175">
        <v>210407</v>
      </c>
      <c r="E247" s="101">
        <f t="shared" si="19"/>
        <v>210407</v>
      </c>
      <c r="F247" s="169"/>
      <c r="G247" s="304">
        <f t="shared" si="18"/>
        <v>4.0715138387196211E-2</v>
      </c>
      <c r="H247" s="300">
        <f t="shared" si="20"/>
        <v>1.357171279573207E-2</v>
      </c>
      <c r="I247" s="166" t="s">
        <v>783</v>
      </c>
    </row>
    <row r="248" spans="1:9" ht="13.8" x14ac:dyDescent="0.3">
      <c r="A248" s="168"/>
      <c r="B248" s="166" t="s">
        <v>784</v>
      </c>
      <c r="C248" s="184">
        <v>216</v>
      </c>
      <c r="D248" s="175">
        <v>72102</v>
      </c>
      <c r="E248" s="101">
        <f t="shared" si="19"/>
        <v>72102</v>
      </c>
      <c r="F248" s="169"/>
      <c r="G248" s="304">
        <f t="shared" si="18"/>
        <v>1.3952211228683557E-2</v>
      </c>
      <c r="H248" s="300">
        <f t="shared" si="20"/>
        <v>1.3952211228683557E-2</v>
      </c>
      <c r="I248" s="166" t="s">
        <v>784</v>
      </c>
    </row>
    <row r="249" spans="1:9" ht="13.8" x14ac:dyDescent="0.3">
      <c r="A249" s="168"/>
      <c r="B249" s="166" t="s">
        <v>785</v>
      </c>
      <c r="C249" s="184">
        <v>668</v>
      </c>
      <c r="D249" s="175">
        <v>222739</v>
      </c>
      <c r="E249" s="101">
        <f t="shared" si="19"/>
        <v>222739</v>
      </c>
      <c r="F249" s="169"/>
      <c r="G249" s="304">
        <f t="shared" si="18"/>
        <v>4.3101461497125557E-2</v>
      </c>
      <c r="H249" s="300">
        <f t="shared" si="20"/>
        <v>2.1550730748562778E-2</v>
      </c>
      <c r="I249" s="166" t="s">
        <v>785</v>
      </c>
    </row>
    <row r="250" spans="1:9" ht="13.8" x14ac:dyDescent="0.3">
      <c r="A250" s="168"/>
      <c r="B250" s="166" t="s">
        <v>786</v>
      </c>
      <c r="C250" s="184">
        <v>276</v>
      </c>
      <c r="D250" s="175">
        <v>207266</v>
      </c>
      <c r="E250" s="101">
        <f t="shared" si="19"/>
        <v>207266</v>
      </c>
      <c r="F250" s="169"/>
      <c r="G250" s="304">
        <f t="shared" si="18"/>
        <v>4.010733422823675E-2</v>
      </c>
      <c r="H250" s="300">
        <f t="shared" si="20"/>
        <v>4.010733422823675E-2</v>
      </c>
      <c r="I250" s="166" t="s">
        <v>786</v>
      </c>
    </row>
    <row r="251" spans="1:9" ht="13.8" x14ac:dyDescent="0.3">
      <c r="A251" s="168"/>
      <c r="B251" s="166" t="s">
        <v>787</v>
      </c>
      <c r="C251" s="184">
        <v>5</v>
      </c>
      <c r="D251" s="175">
        <v>2031</v>
      </c>
      <c r="E251" s="101">
        <f t="shared" si="19"/>
        <v>2031</v>
      </c>
      <c r="F251" s="169"/>
      <c r="G251" s="304">
        <f t="shared" si="18"/>
        <v>3.9301185827655689E-4</v>
      </c>
      <c r="H251" s="300">
        <f t="shared" si="20"/>
        <v>3.9301185827655689E-4</v>
      </c>
      <c r="I251" s="166" t="s">
        <v>787</v>
      </c>
    </row>
    <row r="252" spans="1:9" ht="13.8" x14ac:dyDescent="0.3">
      <c r="A252" s="168"/>
      <c r="B252" s="166" t="s">
        <v>788</v>
      </c>
      <c r="C252" s="184">
        <v>759</v>
      </c>
      <c r="D252" s="175">
        <v>379761</v>
      </c>
      <c r="E252" s="101">
        <f t="shared" si="19"/>
        <v>379761</v>
      </c>
      <c r="F252" s="169"/>
      <c r="G252" s="304">
        <f t="shared" si="18"/>
        <v>7.3486251260937233E-2</v>
      </c>
      <c r="H252" s="300">
        <f t="shared" si="20"/>
        <v>3.6743125630468616E-2</v>
      </c>
      <c r="I252" s="166" t="s">
        <v>788</v>
      </c>
    </row>
    <row r="253" spans="1:9" ht="13.8" x14ac:dyDescent="0.3">
      <c r="A253" s="168"/>
      <c r="B253" s="166" t="s">
        <v>789</v>
      </c>
      <c r="C253" s="184">
        <v>776</v>
      </c>
      <c r="D253" s="175">
        <v>258945</v>
      </c>
      <c r="E253" s="101">
        <f t="shared" si="19"/>
        <v>258945</v>
      </c>
      <c r="F253" s="169"/>
      <c r="G253" s="304">
        <f t="shared" si="18"/>
        <v>5.0107560630932066E-2</v>
      </c>
      <c r="H253" s="300">
        <f t="shared" si="20"/>
        <v>2.5053780315466033E-2</v>
      </c>
      <c r="I253" s="166" t="s">
        <v>789</v>
      </c>
    </row>
    <row r="254" spans="1:9" ht="13.8" x14ac:dyDescent="0.3">
      <c r="A254" s="168"/>
      <c r="B254" s="166" t="s">
        <v>790</v>
      </c>
      <c r="C254" s="184">
        <v>323</v>
      </c>
      <c r="D254" s="175">
        <v>134714</v>
      </c>
      <c r="E254" s="101">
        <f t="shared" si="19"/>
        <v>134714</v>
      </c>
      <c r="F254" s="169"/>
      <c r="G254" s="304">
        <f t="shared" si="18"/>
        <v>2.606804503981688E-2</v>
      </c>
      <c r="H254" s="300">
        <f t="shared" si="20"/>
        <v>2.606804503981688E-2</v>
      </c>
      <c r="I254" s="166" t="s">
        <v>790</v>
      </c>
    </row>
    <row r="255" spans="1:9" ht="13.8" x14ac:dyDescent="0.3">
      <c r="A255" s="168"/>
      <c r="B255" s="166" t="s">
        <v>791</v>
      </c>
      <c r="C255" s="184">
        <v>732</v>
      </c>
      <c r="D255" s="175">
        <v>244099</v>
      </c>
      <c r="E255" s="101">
        <f t="shared" si="19"/>
        <v>244099</v>
      </c>
      <c r="F255" s="169"/>
      <c r="G255" s="304">
        <f t="shared" si="18"/>
        <v>4.7234761985942522E-2</v>
      </c>
      <c r="H255" s="300">
        <f t="shared" si="20"/>
        <v>2.3617380992971261E-2</v>
      </c>
      <c r="I255" s="166" t="s">
        <v>791</v>
      </c>
    </row>
    <row r="256" spans="1:9" ht="13.8" x14ac:dyDescent="0.3">
      <c r="A256" s="168"/>
      <c r="B256" s="166" t="s">
        <v>792</v>
      </c>
      <c r="C256" s="184">
        <v>189</v>
      </c>
      <c r="D256" s="175">
        <v>22321</v>
      </c>
      <c r="E256" s="101">
        <f t="shared" si="19"/>
        <v>22321</v>
      </c>
      <c r="F256" s="169"/>
      <c r="G256" s="304">
        <f t="shared" si="18"/>
        <v>4.31926030949829E-3</v>
      </c>
      <c r="H256" s="300">
        <f t="shared" si="20"/>
        <v>4.31926030949829E-3</v>
      </c>
      <c r="I256" s="166" t="s">
        <v>792</v>
      </c>
    </row>
    <row r="257" spans="1:9" ht="13.8" x14ac:dyDescent="0.3">
      <c r="A257" s="168"/>
      <c r="B257" s="166" t="s">
        <v>793</v>
      </c>
      <c r="C257" s="184">
        <v>921</v>
      </c>
      <c r="D257" s="175">
        <v>199405</v>
      </c>
      <c r="E257" s="101">
        <f t="shared" si="19"/>
        <v>199405</v>
      </c>
      <c r="F257" s="169"/>
      <c r="G257" s="304">
        <f t="shared" si="18"/>
        <v>3.8586179024931971E-2</v>
      </c>
      <c r="H257" s="300">
        <f t="shared" si="20"/>
        <v>1.2862059674977324E-2</v>
      </c>
      <c r="I257" s="166" t="s">
        <v>793</v>
      </c>
    </row>
    <row r="258" spans="1:9" ht="13.8" x14ac:dyDescent="0.3">
      <c r="A258" s="168"/>
      <c r="B258" s="166" t="s">
        <v>794</v>
      </c>
      <c r="C258" s="184">
        <v>112</v>
      </c>
      <c r="D258" s="175">
        <v>38482</v>
      </c>
      <c r="E258" s="101">
        <f t="shared" si="19"/>
        <v>38482</v>
      </c>
      <c r="F258" s="169"/>
      <c r="G258" s="304">
        <f t="shared" si="18"/>
        <v>7.4465201034950579E-3</v>
      </c>
      <c r="H258" s="300">
        <f t="shared" si="20"/>
        <v>7.4465201034950579E-3</v>
      </c>
      <c r="I258" s="166" t="s">
        <v>794</v>
      </c>
    </row>
    <row r="259" spans="1:9" ht="13.8" x14ac:dyDescent="0.3">
      <c r="A259" s="168"/>
      <c r="B259" s="166" t="s">
        <v>795</v>
      </c>
      <c r="C259" s="184">
        <v>60</v>
      </c>
      <c r="D259" s="175">
        <v>25072</v>
      </c>
      <c r="E259" s="101">
        <f t="shared" si="19"/>
        <v>25072</v>
      </c>
      <c r="F259" s="169"/>
      <c r="G259" s="304">
        <f t="shared" si="18"/>
        <v>4.8515969033529468E-3</v>
      </c>
      <c r="H259" s="300">
        <f t="shared" si="20"/>
        <v>4.8515969033529468E-3</v>
      </c>
      <c r="I259" s="166" t="s">
        <v>795</v>
      </c>
    </row>
    <row r="260" spans="1:9" ht="13.8" x14ac:dyDescent="0.3">
      <c r="A260" s="168"/>
      <c r="B260" s="166" t="s">
        <v>796</v>
      </c>
      <c r="C260" s="184">
        <v>54</v>
      </c>
      <c r="D260" s="175">
        <v>7712</v>
      </c>
      <c r="E260" s="101">
        <f t="shared" si="19"/>
        <v>7712</v>
      </c>
      <c r="F260" s="169"/>
      <c r="G260" s="304">
        <f t="shared" si="18"/>
        <v>1.4923227233032037E-3</v>
      </c>
      <c r="H260" s="300">
        <f t="shared" si="20"/>
        <v>1.4923227233032037E-3</v>
      </c>
      <c r="I260" s="166" t="s">
        <v>796</v>
      </c>
    </row>
    <row r="261" spans="1:9" ht="13.8" x14ac:dyDescent="0.3">
      <c r="A261" s="168"/>
      <c r="B261" s="166" t="s">
        <v>797</v>
      </c>
      <c r="C261" s="184">
        <v>12</v>
      </c>
      <c r="D261" s="175">
        <v>6387</v>
      </c>
      <c r="E261" s="101">
        <f t="shared" si="19"/>
        <v>6387</v>
      </c>
      <c r="F261" s="169"/>
      <c r="G261" s="304">
        <f t="shared" si="18"/>
        <v>1.2359265085240614E-3</v>
      </c>
      <c r="H261" s="300">
        <f t="shared" si="20"/>
        <v>1.2359265085240614E-3</v>
      </c>
      <c r="I261" s="166" t="s">
        <v>797</v>
      </c>
    </row>
    <row r="262" spans="1:9" ht="13.8" x14ac:dyDescent="0.3">
      <c r="A262" s="168"/>
      <c r="B262" s="166" t="s">
        <v>798</v>
      </c>
      <c r="C262" s="365">
        <v>279</v>
      </c>
      <c r="D262" s="175">
        <v>40531</v>
      </c>
      <c r="E262" s="101">
        <f t="shared" si="19"/>
        <v>40531</v>
      </c>
      <c r="F262" s="169"/>
      <c r="G262" s="304">
        <f t="shared" si="18"/>
        <v>7.8430150801610671E-3</v>
      </c>
      <c r="H262" s="300">
        <f>IF(C262&lt;350,G262,IF(AND(C262&gt;=350,C262&lt;800),G262/2,IF(C262&gt;=800,G262/3)))</f>
        <v>7.8430150801610671E-3</v>
      </c>
      <c r="I262" s="166" t="s">
        <v>798</v>
      </c>
    </row>
    <row r="263" spans="1:9" ht="13.8" x14ac:dyDescent="0.3">
      <c r="A263" s="168"/>
      <c r="B263" s="166" t="s">
        <v>799</v>
      </c>
      <c r="C263" s="365"/>
      <c r="D263" s="175">
        <v>69738</v>
      </c>
      <c r="E263" s="101">
        <f t="shared" si="19"/>
        <v>69738</v>
      </c>
      <c r="F263" s="169"/>
      <c r="G263" s="304">
        <f t="shared" si="18"/>
        <v>1.349476168020213E-2</v>
      </c>
      <c r="H263" s="300">
        <f>IF(C263&lt;350,G263,IF(AND(C263&gt;=350,C263&lt;800),G263/2,IF(C263&gt;=800,G263/3)))</f>
        <v>1.349476168020213E-2</v>
      </c>
      <c r="I263" s="166" t="s">
        <v>799</v>
      </c>
    </row>
    <row r="264" spans="1:9" ht="13.8" x14ac:dyDescent="0.3">
      <c r="A264" s="168"/>
      <c r="B264" s="166" t="s">
        <v>800</v>
      </c>
      <c r="C264" s="365"/>
      <c r="D264" s="175">
        <v>26727</v>
      </c>
      <c r="E264" s="101">
        <f t="shared" si="19"/>
        <v>26727</v>
      </c>
      <c r="F264" s="169"/>
      <c r="G264" s="304">
        <f t="shared" si="18"/>
        <v>5.1718502886053848E-3</v>
      </c>
      <c r="H264" s="300">
        <f>IF(C262&lt;350,G264,IF(AND(C262&gt;=350,C262&lt;800),G264/2,IF(C262&gt;=800,G264/3)))</f>
        <v>5.1718502886053848E-3</v>
      </c>
      <c r="I264" s="166" t="s">
        <v>800</v>
      </c>
    </row>
    <row r="265" spans="1:9" ht="13.8" x14ac:dyDescent="0.3">
      <c r="A265" s="168"/>
      <c r="B265" s="166" t="s">
        <v>801</v>
      </c>
      <c r="C265" s="184">
        <v>302</v>
      </c>
      <c r="D265" s="175">
        <v>124461</v>
      </c>
      <c r="E265" s="101">
        <f t="shared" si="19"/>
        <v>124461</v>
      </c>
      <c r="F265" s="169"/>
      <c r="G265" s="304">
        <f t="shared" si="18"/>
        <v>2.4084022103869299E-2</v>
      </c>
      <c r="H265" s="300">
        <f t="shared" si="20"/>
        <v>2.4084022103869299E-2</v>
      </c>
      <c r="I265" s="166" t="s">
        <v>801</v>
      </c>
    </row>
    <row r="266" spans="1:9" ht="13.8" x14ac:dyDescent="0.3">
      <c r="A266" s="168"/>
      <c r="B266" s="166" t="s">
        <v>802</v>
      </c>
      <c r="C266" s="184">
        <v>135</v>
      </c>
      <c r="D266" s="175">
        <v>65758</v>
      </c>
      <c r="E266" s="101">
        <f t="shared" si="19"/>
        <v>65758</v>
      </c>
      <c r="F266" s="169"/>
      <c r="G266" s="304">
        <f t="shared" si="18"/>
        <v>1.2724605502978744E-2</v>
      </c>
      <c r="H266" s="300">
        <f t="shared" si="20"/>
        <v>1.2724605502978744E-2</v>
      </c>
      <c r="I266" s="166" t="s">
        <v>802</v>
      </c>
    </row>
    <row r="267" spans="1:9" ht="13.8" x14ac:dyDescent="0.3">
      <c r="A267" s="168"/>
      <c r="B267" s="166" t="s">
        <v>803</v>
      </c>
      <c r="C267" s="184">
        <v>254</v>
      </c>
      <c r="D267" s="175">
        <v>163124</v>
      </c>
      <c r="E267" s="101">
        <f t="shared" si="19"/>
        <v>163124</v>
      </c>
      <c r="F267" s="169"/>
      <c r="G267" s="304">
        <f t="shared" si="18"/>
        <v>3.1565566897836073E-2</v>
      </c>
      <c r="H267" s="300">
        <f t="shared" si="20"/>
        <v>3.1565566897836073E-2</v>
      </c>
      <c r="I267" s="166" t="s">
        <v>803</v>
      </c>
    </row>
    <row r="268" spans="1:9" ht="13.8" x14ac:dyDescent="0.3">
      <c r="A268" s="168"/>
      <c r="B268" s="166" t="s">
        <v>804</v>
      </c>
      <c r="C268" s="184">
        <v>238</v>
      </c>
      <c r="D268" s="175">
        <v>76221</v>
      </c>
      <c r="E268" s="101">
        <f t="shared" si="19"/>
        <v>76221</v>
      </c>
      <c r="F268" s="169"/>
      <c r="G268" s="304">
        <f t="shared" si="18"/>
        <v>1.4749264820136604E-2</v>
      </c>
      <c r="H268" s="300">
        <f t="shared" si="20"/>
        <v>1.4749264820136604E-2</v>
      </c>
      <c r="I268" s="166" t="s">
        <v>804</v>
      </c>
    </row>
    <row r="269" spans="1:9" ht="13.8" x14ac:dyDescent="0.3">
      <c r="A269" s="168"/>
      <c r="B269" s="166" t="s">
        <v>805</v>
      </c>
      <c r="C269" s="184">
        <v>6</v>
      </c>
      <c r="D269" s="175">
        <v>2546</v>
      </c>
      <c r="E269" s="101">
        <f t="shared" si="19"/>
        <v>2546</v>
      </c>
      <c r="F269" s="169"/>
      <c r="G269" s="304">
        <f t="shared" si="18"/>
        <v>4.926677455303367E-4</v>
      </c>
      <c r="H269" s="300">
        <f t="shared" si="20"/>
        <v>4.926677455303367E-4</v>
      </c>
      <c r="I269" s="166" t="s">
        <v>805</v>
      </c>
    </row>
    <row r="270" spans="1:9" ht="13.8" x14ac:dyDescent="0.3">
      <c r="A270" s="168"/>
      <c r="B270" s="166" t="s">
        <v>806</v>
      </c>
      <c r="C270" s="184">
        <v>353</v>
      </c>
      <c r="D270" s="175">
        <v>276147</v>
      </c>
      <c r="E270" s="101">
        <f t="shared" si="19"/>
        <v>276147</v>
      </c>
      <c r="F270" s="169"/>
      <c r="G270" s="304">
        <f t="shared" si="18"/>
        <v>5.3436260771785503E-2</v>
      </c>
      <c r="H270" s="300">
        <f t="shared" si="20"/>
        <v>2.6718130385892751E-2</v>
      </c>
      <c r="I270" s="166" t="s">
        <v>806</v>
      </c>
    </row>
    <row r="271" spans="1:9" ht="13.8" x14ac:dyDescent="0.3">
      <c r="A271" s="168"/>
      <c r="B271" s="166" t="s">
        <v>807</v>
      </c>
      <c r="C271" s="184">
        <v>245</v>
      </c>
      <c r="D271" s="175">
        <v>122530</v>
      </c>
      <c r="E271" s="101">
        <f t="shared" si="19"/>
        <v>122530</v>
      </c>
      <c r="F271" s="169"/>
      <c r="G271" s="304">
        <f t="shared" si="18"/>
        <v>2.3710360903311922E-2</v>
      </c>
      <c r="H271" s="300">
        <f t="shared" si="20"/>
        <v>2.3710360903311922E-2</v>
      </c>
      <c r="I271" s="166" t="s">
        <v>807</v>
      </c>
    </row>
    <row r="272" spans="1:9" ht="13.8" x14ac:dyDescent="0.3">
      <c r="A272" s="168"/>
      <c r="B272" s="166" t="s">
        <v>808</v>
      </c>
      <c r="C272" s="184">
        <v>1202</v>
      </c>
      <c r="D272" s="175">
        <v>601162</v>
      </c>
      <c r="E272" s="101">
        <f t="shared" si="19"/>
        <v>601162</v>
      </c>
      <c r="F272" s="169"/>
      <c r="G272" s="304">
        <f t="shared" si="18"/>
        <v>0.11632880095778016</v>
      </c>
      <c r="H272" s="300">
        <f t="shared" si="20"/>
        <v>3.8776266985926719E-2</v>
      </c>
      <c r="I272" s="166" t="s">
        <v>808</v>
      </c>
    </row>
    <row r="273" spans="1:9" ht="13.8" x14ac:dyDescent="0.3">
      <c r="A273" s="168"/>
      <c r="B273" s="166" t="s">
        <v>809</v>
      </c>
      <c r="C273" s="184">
        <v>452</v>
      </c>
      <c r="D273" s="175">
        <v>150757</v>
      </c>
      <c r="E273" s="101">
        <f t="shared" si="19"/>
        <v>150757</v>
      </c>
      <c r="F273" s="169"/>
      <c r="G273" s="304">
        <f t="shared" si="18"/>
        <v>2.9172471057705016E-2</v>
      </c>
      <c r="H273" s="300">
        <f t="shared" si="20"/>
        <v>1.4586235528852508E-2</v>
      </c>
      <c r="I273" s="166" t="s">
        <v>809</v>
      </c>
    </row>
    <row r="274" spans="1:9" ht="13.8" x14ac:dyDescent="0.3">
      <c r="A274" s="168"/>
      <c r="B274" s="166" t="s">
        <v>810</v>
      </c>
      <c r="C274" s="184">
        <v>132</v>
      </c>
      <c r="D274" s="175">
        <v>51992</v>
      </c>
      <c r="E274" s="101">
        <f t="shared" si="19"/>
        <v>51992</v>
      </c>
      <c r="F274" s="169"/>
      <c r="G274" s="304">
        <f t="shared" si="18"/>
        <v>1.0060793961356349E-2</v>
      </c>
      <c r="H274" s="300">
        <f t="shared" si="20"/>
        <v>1.0060793961356349E-2</v>
      </c>
      <c r="I274" s="166" t="s">
        <v>810</v>
      </c>
    </row>
    <row r="275" spans="1:9" ht="13.8" x14ac:dyDescent="0.3">
      <c r="A275" s="168"/>
      <c r="B275" s="166" t="s">
        <v>811</v>
      </c>
      <c r="C275" s="184">
        <v>830</v>
      </c>
      <c r="D275" s="175">
        <v>207257</v>
      </c>
      <c r="E275" s="101">
        <f t="shared" si="19"/>
        <v>207257</v>
      </c>
      <c r="F275" s="169"/>
      <c r="G275" s="304">
        <f t="shared" si="18"/>
        <v>4.0105592669042026E-2</v>
      </c>
      <c r="H275" s="300">
        <f t="shared" si="20"/>
        <v>1.3368530889680675E-2</v>
      </c>
      <c r="I275" s="166" t="s">
        <v>811</v>
      </c>
    </row>
    <row r="276" spans="1:9" ht="13.8" x14ac:dyDescent="0.3">
      <c r="A276" s="168"/>
      <c r="B276" s="166" t="s">
        <v>812</v>
      </c>
      <c r="C276" s="184">
        <v>721</v>
      </c>
      <c r="D276" s="175">
        <v>266248</v>
      </c>
      <c r="E276" s="101">
        <f t="shared" si="19"/>
        <v>266248</v>
      </c>
      <c r="F276" s="169"/>
      <c r="G276" s="304">
        <f t="shared" si="18"/>
        <v>5.1520739164163817E-2</v>
      </c>
      <c r="H276" s="300">
        <f t="shared" si="20"/>
        <v>2.5760369582081909E-2</v>
      </c>
      <c r="I276" s="166" t="s">
        <v>812</v>
      </c>
    </row>
    <row r="277" spans="1:9" ht="13.8" x14ac:dyDescent="0.3">
      <c r="A277" s="168"/>
      <c r="B277" s="166" t="s">
        <v>813</v>
      </c>
      <c r="C277" s="184">
        <v>252</v>
      </c>
      <c r="D277" s="175">
        <v>118507</v>
      </c>
      <c r="E277" s="101">
        <f t="shared" si="19"/>
        <v>118507</v>
      </c>
      <c r="F277" s="169"/>
      <c r="G277" s="304">
        <f t="shared" si="18"/>
        <v>2.2931883943269289E-2</v>
      </c>
      <c r="H277" s="300">
        <f t="shared" si="20"/>
        <v>2.2931883943269289E-2</v>
      </c>
      <c r="I277" s="166" t="s">
        <v>813</v>
      </c>
    </row>
    <row r="278" spans="1:9" ht="13.8" x14ac:dyDescent="0.3">
      <c r="A278" s="168"/>
      <c r="B278" s="166" t="s">
        <v>814</v>
      </c>
      <c r="C278" s="184">
        <v>761</v>
      </c>
      <c r="D278" s="175">
        <v>273142</v>
      </c>
      <c r="E278" s="101">
        <f t="shared" si="19"/>
        <v>273142</v>
      </c>
      <c r="F278" s="169"/>
      <c r="G278" s="304">
        <f t="shared" si="18"/>
        <v>5.2854773507324128E-2</v>
      </c>
      <c r="H278" s="300">
        <f t="shared" si="20"/>
        <v>2.6427386753662064E-2</v>
      </c>
      <c r="I278" s="166" t="s">
        <v>814</v>
      </c>
    </row>
    <row r="279" spans="1:9" ht="13.8" x14ac:dyDescent="0.3">
      <c r="A279" s="168"/>
      <c r="B279" s="166" t="s">
        <v>815</v>
      </c>
      <c r="C279" s="184">
        <v>146</v>
      </c>
      <c r="D279" s="175">
        <v>21580</v>
      </c>
      <c r="E279" s="101">
        <f t="shared" si="19"/>
        <v>21580</v>
      </c>
      <c r="F279" s="169"/>
      <c r="G279" s="304">
        <f t="shared" si="18"/>
        <v>4.1758719357991615E-3</v>
      </c>
      <c r="H279" s="300">
        <f t="shared" si="20"/>
        <v>4.1758719357991615E-3</v>
      </c>
      <c r="I279" s="166" t="s">
        <v>815</v>
      </c>
    </row>
    <row r="280" spans="1:9" ht="13.8" x14ac:dyDescent="0.3">
      <c r="A280" s="168"/>
      <c r="B280" s="166" t="s">
        <v>816</v>
      </c>
      <c r="C280" s="184">
        <v>158</v>
      </c>
      <c r="D280" s="175">
        <v>130681</v>
      </c>
      <c r="E280" s="101">
        <f t="shared" si="19"/>
        <v>130681</v>
      </c>
      <c r="F280" s="169"/>
      <c r="G280" s="304">
        <f t="shared" si="18"/>
        <v>2.5287633014002331E-2</v>
      </c>
      <c r="H280" s="300">
        <f t="shared" si="20"/>
        <v>2.5287633014002331E-2</v>
      </c>
      <c r="I280" s="166" t="s">
        <v>816</v>
      </c>
    </row>
    <row r="281" spans="1:9" ht="15" customHeight="1" x14ac:dyDescent="0.3">
      <c r="A281" s="170"/>
      <c r="B281" s="171" t="s">
        <v>10</v>
      </c>
      <c r="C281" s="228"/>
      <c r="D281" s="172"/>
      <c r="E281" s="174">
        <f>SUM(E245:E280)</f>
        <v>5167783</v>
      </c>
      <c r="F281" s="173" t="s">
        <v>6</v>
      </c>
    </row>
    <row r="282" spans="1:9" ht="6.6" customHeight="1" x14ac:dyDescent="0.25">
      <c r="A282" s="369"/>
      <c r="B282" s="370"/>
      <c r="C282" s="370"/>
      <c r="D282" s="370"/>
      <c r="E282" s="370"/>
      <c r="F282" s="371"/>
    </row>
    <row r="283" spans="1:9" ht="15" customHeight="1" x14ac:dyDescent="0.25">
      <c r="A283" s="291" t="s">
        <v>43</v>
      </c>
      <c r="B283" s="287" t="str">
        <f>'Planilha Orçamentária'!D14</f>
        <v>Estudo Técnico Ambiental</v>
      </c>
      <c r="C283" s="288"/>
      <c r="D283" s="289"/>
      <c r="E283" s="288"/>
      <c r="F283" s="290"/>
    </row>
    <row r="284" spans="1:9" ht="13.8" x14ac:dyDescent="0.3">
      <c r="A284" s="168"/>
      <c r="B284" s="166" t="s">
        <v>779</v>
      </c>
      <c r="C284" s="184">
        <v>724</v>
      </c>
      <c r="D284" s="167"/>
      <c r="E284" s="101">
        <f>C284</f>
        <v>724</v>
      </c>
      <c r="F284" s="169"/>
      <c r="G284" s="304">
        <f t="shared" ref="G284:G301" si="21">E284/$E$320</f>
        <v>5.3380520533805202E-2</v>
      </c>
      <c r="H284" s="300">
        <f>IF(C284&lt;200,G284,IF(AND(C284&gt;=200,C284&lt;500),G284/2,IF(C284&gt;=500,G284/3)))</f>
        <v>1.7793506844601733E-2</v>
      </c>
      <c r="I284" s="166" t="s">
        <v>779</v>
      </c>
    </row>
    <row r="285" spans="1:9" ht="13.8" x14ac:dyDescent="0.3">
      <c r="A285" s="168"/>
      <c r="B285" s="166" t="s">
        <v>782</v>
      </c>
      <c r="C285" s="184">
        <v>429</v>
      </c>
      <c r="D285" s="167"/>
      <c r="E285" s="101">
        <f t="shared" ref="E285:E301" si="22">C285</f>
        <v>429</v>
      </c>
      <c r="F285" s="169"/>
      <c r="G285" s="304">
        <f t="shared" si="21"/>
        <v>3.1630170316301706E-2</v>
      </c>
      <c r="H285" s="300">
        <f t="shared" ref="H285:H319" si="23">IF(C285&lt;200,G285,IF(AND(C285&gt;=200,C285&lt;500),G285/2,IF(C285&gt;=500,G285/3)))</f>
        <v>1.5815085158150853E-2</v>
      </c>
      <c r="I285" s="166" t="s">
        <v>782</v>
      </c>
    </row>
    <row r="286" spans="1:9" ht="13.8" x14ac:dyDescent="0.3">
      <c r="A286" s="168"/>
      <c r="B286" s="166" t="s">
        <v>783</v>
      </c>
      <c r="C286" s="184">
        <v>841</v>
      </c>
      <c r="D286" s="167"/>
      <c r="E286" s="101">
        <f t="shared" si="22"/>
        <v>841</v>
      </c>
      <c r="F286" s="169"/>
      <c r="G286" s="304">
        <f t="shared" si="21"/>
        <v>6.2006930620069303E-2</v>
      </c>
      <c r="H286" s="300">
        <f t="shared" si="23"/>
        <v>2.0668976873356434E-2</v>
      </c>
      <c r="I286" s="166" t="s">
        <v>783</v>
      </c>
    </row>
    <row r="287" spans="1:9" ht="13.8" x14ac:dyDescent="0.3">
      <c r="A287" s="168"/>
      <c r="B287" s="166" t="s">
        <v>784</v>
      </c>
      <c r="C287" s="184">
        <v>216</v>
      </c>
      <c r="D287" s="167"/>
      <c r="E287" s="101">
        <f t="shared" si="22"/>
        <v>216</v>
      </c>
      <c r="F287" s="169"/>
      <c r="G287" s="304">
        <f t="shared" si="21"/>
        <v>1.5925680159256803E-2</v>
      </c>
      <c r="H287" s="300">
        <f t="shared" si="23"/>
        <v>7.9628400796284016E-3</v>
      </c>
      <c r="I287" s="166" t="s">
        <v>784</v>
      </c>
    </row>
    <row r="288" spans="1:9" ht="13.8" x14ac:dyDescent="0.3">
      <c r="A288" s="168"/>
      <c r="B288" s="166" t="s">
        <v>785</v>
      </c>
      <c r="C288" s="184">
        <v>668</v>
      </c>
      <c r="D288" s="167"/>
      <c r="E288" s="101">
        <f t="shared" si="22"/>
        <v>668</v>
      </c>
      <c r="F288" s="169"/>
      <c r="G288" s="304">
        <f t="shared" si="21"/>
        <v>4.9251640492516402E-2</v>
      </c>
      <c r="H288" s="300">
        <f t="shared" si="23"/>
        <v>1.6417213497505467E-2</v>
      </c>
      <c r="I288" s="166" t="s">
        <v>785</v>
      </c>
    </row>
    <row r="289" spans="1:9" ht="13.8" x14ac:dyDescent="0.3">
      <c r="A289" s="168"/>
      <c r="B289" s="166" t="s">
        <v>786</v>
      </c>
      <c r="C289" s="184">
        <v>276</v>
      </c>
      <c r="D289" s="167"/>
      <c r="E289" s="101">
        <f t="shared" si="22"/>
        <v>276</v>
      </c>
      <c r="F289" s="169"/>
      <c r="G289" s="304">
        <f t="shared" si="21"/>
        <v>2.0349480203494801E-2</v>
      </c>
      <c r="H289" s="300">
        <f t="shared" si="23"/>
        <v>1.01747401017474E-2</v>
      </c>
      <c r="I289" s="166" t="s">
        <v>786</v>
      </c>
    </row>
    <row r="290" spans="1:9" ht="13.8" x14ac:dyDescent="0.3">
      <c r="A290" s="168"/>
      <c r="B290" s="166" t="s">
        <v>787</v>
      </c>
      <c r="C290" s="184">
        <v>5</v>
      </c>
      <c r="D290" s="167"/>
      <c r="E290" s="101">
        <f t="shared" si="22"/>
        <v>5</v>
      </c>
      <c r="F290" s="169"/>
      <c r="G290" s="304">
        <f t="shared" si="21"/>
        <v>3.6865000368650004E-4</v>
      </c>
      <c r="H290" s="300">
        <f t="shared" si="23"/>
        <v>3.6865000368650004E-4</v>
      </c>
      <c r="I290" s="166" t="s">
        <v>787</v>
      </c>
    </row>
    <row r="291" spans="1:9" ht="13.8" x14ac:dyDescent="0.3">
      <c r="A291" s="168"/>
      <c r="B291" s="166" t="s">
        <v>788</v>
      </c>
      <c r="C291" s="184">
        <v>759</v>
      </c>
      <c r="D291" s="167"/>
      <c r="E291" s="101">
        <f t="shared" si="22"/>
        <v>759</v>
      </c>
      <c r="F291" s="169"/>
      <c r="G291" s="304">
        <f t="shared" si="21"/>
        <v>5.5961070559610707E-2</v>
      </c>
      <c r="H291" s="300">
        <f t="shared" si="23"/>
        <v>1.8653690186536901E-2</v>
      </c>
      <c r="I291" s="166" t="s">
        <v>788</v>
      </c>
    </row>
    <row r="292" spans="1:9" ht="13.8" x14ac:dyDescent="0.3">
      <c r="A292" s="168"/>
      <c r="B292" s="166" t="s">
        <v>789</v>
      </c>
      <c r="C292" s="184">
        <v>776</v>
      </c>
      <c r="D292" s="167"/>
      <c r="E292" s="101">
        <f t="shared" si="22"/>
        <v>776</v>
      </c>
      <c r="F292" s="169"/>
      <c r="G292" s="304">
        <f t="shared" si="21"/>
        <v>5.7214480572144809E-2</v>
      </c>
      <c r="H292" s="300">
        <f t="shared" si="23"/>
        <v>1.9071493524048268E-2</v>
      </c>
      <c r="I292" s="166" t="s">
        <v>789</v>
      </c>
    </row>
    <row r="293" spans="1:9" ht="13.8" x14ac:dyDescent="0.3">
      <c r="A293" s="168"/>
      <c r="B293" s="166" t="s">
        <v>790</v>
      </c>
      <c r="C293" s="184">
        <v>323</v>
      </c>
      <c r="D293" s="167"/>
      <c r="E293" s="101">
        <f t="shared" si="22"/>
        <v>323</v>
      </c>
      <c r="F293" s="169"/>
      <c r="G293" s="304">
        <f t="shared" si="21"/>
        <v>2.3814790238147903E-2</v>
      </c>
      <c r="H293" s="300">
        <f t="shared" si="23"/>
        <v>1.1907395119073952E-2</v>
      </c>
      <c r="I293" s="166" t="s">
        <v>790</v>
      </c>
    </row>
    <row r="294" spans="1:9" ht="13.8" x14ac:dyDescent="0.3">
      <c r="A294" s="168"/>
      <c r="B294" s="166" t="s">
        <v>791</v>
      </c>
      <c r="C294" s="184">
        <v>732</v>
      </c>
      <c r="D294" s="167"/>
      <c r="E294" s="101">
        <f t="shared" si="22"/>
        <v>732</v>
      </c>
      <c r="F294" s="169"/>
      <c r="G294" s="304">
        <f t="shared" si="21"/>
        <v>5.3970360539703603E-2</v>
      </c>
      <c r="H294" s="300">
        <f t="shared" si="23"/>
        <v>1.79901201799012E-2</v>
      </c>
      <c r="I294" s="166" t="s">
        <v>791</v>
      </c>
    </row>
    <row r="295" spans="1:9" ht="13.8" x14ac:dyDescent="0.3">
      <c r="A295" s="168"/>
      <c r="B295" s="166" t="s">
        <v>792</v>
      </c>
      <c r="C295" s="184">
        <v>189</v>
      </c>
      <c r="D295" s="167"/>
      <c r="E295" s="101">
        <f t="shared" si="22"/>
        <v>189</v>
      </c>
      <c r="F295" s="169"/>
      <c r="G295" s="304">
        <f t="shared" si="21"/>
        <v>1.3934970139349702E-2</v>
      </c>
      <c r="H295" s="300">
        <f t="shared" si="23"/>
        <v>1.3934970139349702E-2</v>
      </c>
      <c r="I295" s="166" t="s">
        <v>792</v>
      </c>
    </row>
    <row r="296" spans="1:9" ht="13.8" x14ac:dyDescent="0.3">
      <c r="A296" s="168"/>
      <c r="B296" s="166" t="s">
        <v>793</v>
      </c>
      <c r="C296" s="184">
        <v>921</v>
      </c>
      <c r="D296" s="167"/>
      <c r="E296" s="101">
        <f t="shared" si="22"/>
        <v>921</v>
      </c>
      <c r="F296" s="169"/>
      <c r="G296" s="304">
        <f t="shared" si="21"/>
        <v>6.7905330679053313E-2</v>
      </c>
      <c r="H296" s="300">
        <f t="shared" si="23"/>
        <v>2.2635110226351104E-2</v>
      </c>
      <c r="I296" s="166" t="s">
        <v>793</v>
      </c>
    </row>
    <row r="297" spans="1:9" ht="13.8" x14ac:dyDescent="0.3">
      <c r="A297" s="168"/>
      <c r="B297" s="166" t="s">
        <v>794</v>
      </c>
      <c r="C297" s="184">
        <v>112</v>
      </c>
      <c r="D297" s="167"/>
      <c r="E297" s="101">
        <f t="shared" si="22"/>
        <v>112</v>
      </c>
      <c r="F297" s="169"/>
      <c r="G297" s="304">
        <f t="shared" si="21"/>
        <v>8.2577600825776004E-3</v>
      </c>
      <c r="H297" s="300">
        <f t="shared" si="23"/>
        <v>8.2577600825776004E-3</v>
      </c>
      <c r="I297" s="166" t="s">
        <v>794</v>
      </c>
    </row>
    <row r="298" spans="1:9" ht="13.8" x14ac:dyDescent="0.3">
      <c r="A298" s="168"/>
      <c r="B298" s="166" t="s">
        <v>795</v>
      </c>
      <c r="C298" s="184">
        <v>60</v>
      </c>
      <c r="D298" s="167"/>
      <c r="E298" s="101">
        <f t="shared" si="22"/>
        <v>60</v>
      </c>
      <c r="F298" s="169"/>
      <c r="G298" s="304">
        <f t="shared" si="21"/>
        <v>4.4238000442380007E-3</v>
      </c>
      <c r="H298" s="300">
        <f t="shared" si="23"/>
        <v>4.4238000442380007E-3</v>
      </c>
      <c r="I298" s="166" t="s">
        <v>795</v>
      </c>
    </row>
    <row r="299" spans="1:9" ht="13.8" x14ac:dyDescent="0.3">
      <c r="A299" s="168"/>
      <c r="B299" s="166" t="s">
        <v>796</v>
      </c>
      <c r="C299" s="184">
        <v>54</v>
      </c>
      <c r="D299" s="167"/>
      <c r="E299" s="101">
        <f t="shared" si="22"/>
        <v>54</v>
      </c>
      <c r="F299" s="169"/>
      <c r="G299" s="304">
        <f t="shared" si="21"/>
        <v>3.9814200398142008E-3</v>
      </c>
      <c r="H299" s="300">
        <f t="shared" si="23"/>
        <v>3.9814200398142008E-3</v>
      </c>
      <c r="I299" s="166" t="s">
        <v>796</v>
      </c>
    </row>
    <row r="300" spans="1:9" ht="13.8" x14ac:dyDescent="0.3">
      <c r="A300" s="168"/>
      <c r="B300" s="166" t="s">
        <v>797</v>
      </c>
      <c r="C300" s="184">
        <v>12</v>
      </c>
      <c r="D300" s="167"/>
      <c r="E300" s="101">
        <f t="shared" si="22"/>
        <v>12</v>
      </c>
      <c r="F300" s="169"/>
      <c r="G300" s="304">
        <f t="shared" si="21"/>
        <v>8.8476000884760012E-4</v>
      </c>
      <c r="H300" s="300">
        <f t="shared" si="23"/>
        <v>8.8476000884760012E-4</v>
      </c>
      <c r="I300" s="166" t="s">
        <v>797</v>
      </c>
    </row>
    <row r="301" spans="1:9" ht="13.8" x14ac:dyDescent="0.3">
      <c r="A301" s="168"/>
      <c r="B301" s="166" t="s">
        <v>798</v>
      </c>
      <c r="C301" s="365">
        <v>279</v>
      </c>
      <c r="D301" s="167"/>
      <c r="E301" s="366">
        <f t="shared" si="22"/>
        <v>279</v>
      </c>
      <c r="F301" s="169"/>
      <c r="G301" s="364">
        <f t="shared" si="21"/>
        <v>2.0570670205706701E-2</v>
      </c>
      <c r="H301" s="363">
        <f t="shared" si="23"/>
        <v>1.028533510285335E-2</v>
      </c>
      <c r="I301" s="166" t="s">
        <v>798</v>
      </c>
    </row>
    <row r="302" spans="1:9" ht="13.8" x14ac:dyDescent="0.3">
      <c r="A302" s="168"/>
      <c r="B302" s="166" t="s">
        <v>799</v>
      </c>
      <c r="C302" s="365"/>
      <c r="D302" s="167"/>
      <c r="E302" s="366"/>
      <c r="F302" s="169"/>
      <c r="G302" s="364"/>
      <c r="H302" s="363"/>
      <c r="I302" s="166" t="s">
        <v>799</v>
      </c>
    </row>
    <row r="303" spans="1:9" ht="13.8" x14ac:dyDescent="0.3">
      <c r="A303" s="168"/>
      <c r="B303" s="166" t="s">
        <v>800</v>
      </c>
      <c r="C303" s="365"/>
      <c r="D303" s="167"/>
      <c r="E303" s="366"/>
      <c r="F303" s="169"/>
      <c r="G303" s="364"/>
      <c r="H303" s="363"/>
      <c r="I303" s="166" t="s">
        <v>800</v>
      </c>
    </row>
    <row r="304" spans="1:9" ht="13.8" x14ac:dyDescent="0.3">
      <c r="A304" s="168"/>
      <c r="B304" s="166" t="s">
        <v>801</v>
      </c>
      <c r="C304" s="184">
        <v>302</v>
      </c>
      <c r="D304" s="167"/>
      <c r="E304" s="101">
        <f t="shared" ref="E304:E319" si="24">C304</f>
        <v>302</v>
      </c>
      <c r="F304" s="169"/>
      <c r="G304" s="304">
        <f t="shared" ref="G304:G319" si="25">E304/$E$320</f>
        <v>2.2266460222664604E-2</v>
      </c>
      <c r="H304" s="300">
        <f t="shared" si="23"/>
        <v>1.1133230111332302E-2</v>
      </c>
      <c r="I304" s="166" t="s">
        <v>801</v>
      </c>
    </row>
    <row r="305" spans="1:9" ht="13.8" x14ac:dyDescent="0.3">
      <c r="A305" s="168"/>
      <c r="B305" s="166" t="s">
        <v>802</v>
      </c>
      <c r="C305" s="184">
        <v>135</v>
      </c>
      <c r="D305" s="167"/>
      <c r="E305" s="101">
        <f t="shared" si="24"/>
        <v>135</v>
      </c>
      <c r="F305" s="169"/>
      <c r="G305" s="304">
        <f t="shared" si="25"/>
        <v>9.9535500995355016E-3</v>
      </c>
      <c r="H305" s="300">
        <f t="shared" si="23"/>
        <v>9.9535500995355016E-3</v>
      </c>
      <c r="I305" s="166" t="s">
        <v>802</v>
      </c>
    </row>
    <row r="306" spans="1:9" ht="13.8" x14ac:dyDescent="0.3">
      <c r="A306" s="168"/>
      <c r="B306" s="166" t="s">
        <v>803</v>
      </c>
      <c r="C306" s="184">
        <v>254</v>
      </c>
      <c r="D306" s="167"/>
      <c r="E306" s="101">
        <f t="shared" si="24"/>
        <v>254</v>
      </c>
      <c r="F306" s="169"/>
      <c r="G306" s="304">
        <f t="shared" si="25"/>
        <v>1.8727420187274201E-2</v>
      </c>
      <c r="H306" s="300">
        <f t="shared" si="23"/>
        <v>9.3637100936371006E-3</v>
      </c>
      <c r="I306" s="166" t="s">
        <v>803</v>
      </c>
    </row>
    <row r="307" spans="1:9" ht="13.8" x14ac:dyDescent="0.3">
      <c r="A307" s="168"/>
      <c r="B307" s="166" t="s">
        <v>804</v>
      </c>
      <c r="C307" s="184">
        <v>238</v>
      </c>
      <c r="D307" s="167"/>
      <c r="E307" s="101">
        <f t="shared" si="24"/>
        <v>238</v>
      </c>
      <c r="F307" s="169"/>
      <c r="G307" s="304">
        <f t="shared" si="25"/>
        <v>1.7547740175477403E-2</v>
      </c>
      <c r="H307" s="300">
        <f t="shared" si="23"/>
        <v>8.7738700877387013E-3</v>
      </c>
      <c r="I307" s="166" t="s">
        <v>804</v>
      </c>
    </row>
    <row r="308" spans="1:9" ht="13.8" x14ac:dyDescent="0.3">
      <c r="A308" s="168"/>
      <c r="B308" s="166" t="s">
        <v>805</v>
      </c>
      <c r="C308" s="184">
        <v>6</v>
      </c>
      <c r="D308" s="167"/>
      <c r="E308" s="101">
        <f t="shared" si="24"/>
        <v>6</v>
      </c>
      <c r="F308" s="169"/>
      <c r="G308" s="304">
        <f t="shared" si="25"/>
        <v>4.4238000442380006E-4</v>
      </c>
      <c r="H308" s="300">
        <f t="shared" si="23"/>
        <v>4.4238000442380006E-4</v>
      </c>
      <c r="I308" s="166" t="s">
        <v>805</v>
      </c>
    </row>
    <row r="309" spans="1:9" ht="13.8" x14ac:dyDescent="0.3">
      <c r="A309" s="168"/>
      <c r="B309" s="166" t="s">
        <v>806</v>
      </c>
      <c r="C309" s="184">
        <v>353</v>
      </c>
      <c r="D309" s="167"/>
      <c r="E309" s="101">
        <f t="shared" si="24"/>
        <v>353</v>
      </c>
      <c r="F309" s="169"/>
      <c r="G309" s="304">
        <f t="shared" si="25"/>
        <v>2.6026690260266903E-2</v>
      </c>
      <c r="H309" s="300">
        <f t="shared" si="23"/>
        <v>1.3013345130133452E-2</v>
      </c>
      <c r="I309" s="166" t="s">
        <v>806</v>
      </c>
    </row>
    <row r="310" spans="1:9" ht="13.8" x14ac:dyDescent="0.3">
      <c r="A310" s="168"/>
      <c r="B310" s="166" t="s">
        <v>807</v>
      </c>
      <c r="C310" s="184">
        <v>245</v>
      </c>
      <c r="D310" s="167"/>
      <c r="E310" s="101">
        <f t="shared" si="24"/>
        <v>245</v>
      </c>
      <c r="F310" s="169"/>
      <c r="G310" s="304">
        <f t="shared" si="25"/>
        <v>1.8063850180638504E-2</v>
      </c>
      <c r="H310" s="300">
        <f t="shared" si="23"/>
        <v>9.0319250903192518E-3</v>
      </c>
      <c r="I310" s="166" t="s">
        <v>807</v>
      </c>
    </row>
    <row r="311" spans="1:9" ht="13.8" x14ac:dyDescent="0.3">
      <c r="A311" s="168"/>
      <c r="B311" s="166" t="s">
        <v>808</v>
      </c>
      <c r="C311" s="184">
        <v>1202</v>
      </c>
      <c r="D311" s="167"/>
      <c r="E311" s="101">
        <f t="shared" si="24"/>
        <v>1202</v>
      </c>
      <c r="F311" s="169"/>
      <c r="G311" s="304">
        <f t="shared" si="25"/>
        <v>8.8623460886234615E-2</v>
      </c>
      <c r="H311" s="300">
        <f t="shared" si="23"/>
        <v>2.9541153628744873E-2</v>
      </c>
      <c r="I311" s="166" t="s">
        <v>808</v>
      </c>
    </row>
    <row r="312" spans="1:9" ht="13.8" x14ac:dyDescent="0.3">
      <c r="A312" s="168"/>
      <c r="B312" s="166" t="s">
        <v>809</v>
      </c>
      <c r="C312" s="184">
        <v>452</v>
      </c>
      <c r="D312" s="167"/>
      <c r="E312" s="101">
        <f t="shared" si="24"/>
        <v>452</v>
      </c>
      <c r="F312" s="169"/>
      <c r="G312" s="304">
        <f t="shared" si="25"/>
        <v>3.3325960333259602E-2</v>
      </c>
      <c r="H312" s="300">
        <f t="shared" si="23"/>
        <v>1.6662980166629801E-2</v>
      </c>
      <c r="I312" s="166" t="s">
        <v>809</v>
      </c>
    </row>
    <row r="313" spans="1:9" ht="13.8" x14ac:dyDescent="0.3">
      <c r="A313" s="168"/>
      <c r="B313" s="166" t="s">
        <v>810</v>
      </c>
      <c r="C313" s="184">
        <v>132</v>
      </c>
      <c r="D313" s="167"/>
      <c r="E313" s="101">
        <f t="shared" si="24"/>
        <v>132</v>
      </c>
      <c r="F313" s="169"/>
      <c r="G313" s="304">
        <f t="shared" si="25"/>
        <v>9.7323600973236012E-3</v>
      </c>
      <c r="H313" s="300">
        <f t="shared" si="23"/>
        <v>9.7323600973236012E-3</v>
      </c>
      <c r="I313" s="166" t="s">
        <v>810</v>
      </c>
    </row>
    <row r="314" spans="1:9" ht="13.8" x14ac:dyDescent="0.3">
      <c r="A314" s="168"/>
      <c r="B314" s="166" t="s">
        <v>811</v>
      </c>
      <c r="C314" s="184">
        <v>830</v>
      </c>
      <c r="D314" s="167"/>
      <c r="E314" s="101">
        <f t="shared" si="24"/>
        <v>830</v>
      </c>
      <c r="F314" s="169"/>
      <c r="G314" s="304">
        <f t="shared" si="25"/>
        <v>6.1195900611959009E-2</v>
      </c>
      <c r="H314" s="300">
        <f t="shared" si="23"/>
        <v>2.0398633537319671E-2</v>
      </c>
      <c r="I314" s="166" t="s">
        <v>811</v>
      </c>
    </row>
    <row r="315" spans="1:9" ht="13.8" x14ac:dyDescent="0.3">
      <c r="A315" s="168"/>
      <c r="B315" s="166" t="s">
        <v>812</v>
      </c>
      <c r="C315" s="184">
        <v>721</v>
      </c>
      <c r="D315" s="167"/>
      <c r="E315" s="101">
        <f t="shared" si="24"/>
        <v>721</v>
      </c>
      <c r="F315" s="169"/>
      <c r="G315" s="304">
        <f t="shared" si="25"/>
        <v>5.3159330531593309E-2</v>
      </c>
      <c r="H315" s="300">
        <f t="shared" si="23"/>
        <v>1.7719776843864436E-2</v>
      </c>
      <c r="I315" s="166" t="s">
        <v>812</v>
      </c>
    </row>
    <row r="316" spans="1:9" ht="13.8" x14ac:dyDescent="0.3">
      <c r="A316" s="168"/>
      <c r="B316" s="166" t="s">
        <v>813</v>
      </c>
      <c r="C316" s="184">
        <v>252</v>
      </c>
      <c r="D316" s="167"/>
      <c r="E316" s="101">
        <f t="shared" si="24"/>
        <v>252</v>
      </c>
      <c r="F316" s="169"/>
      <c r="G316" s="304">
        <f t="shared" si="25"/>
        <v>1.8579960185799601E-2</v>
      </c>
      <c r="H316" s="300">
        <f t="shared" si="23"/>
        <v>9.2899800928998005E-3</v>
      </c>
      <c r="I316" s="166" t="s">
        <v>813</v>
      </c>
    </row>
    <row r="317" spans="1:9" ht="13.8" x14ac:dyDescent="0.3">
      <c r="A317" s="168"/>
      <c r="B317" s="166" t="s">
        <v>814</v>
      </c>
      <c r="C317" s="184">
        <v>761</v>
      </c>
      <c r="D317" s="167"/>
      <c r="E317" s="101">
        <f t="shared" si="24"/>
        <v>761</v>
      </c>
      <c r="F317" s="169"/>
      <c r="G317" s="304">
        <f t="shared" si="25"/>
        <v>5.6108530561085307E-2</v>
      </c>
      <c r="H317" s="300">
        <f t="shared" si="23"/>
        <v>1.8702843520361768E-2</v>
      </c>
      <c r="I317" s="166" t="s">
        <v>814</v>
      </c>
    </row>
    <row r="318" spans="1:9" ht="13.8" x14ac:dyDescent="0.3">
      <c r="A318" s="168"/>
      <c r="B318" s="166" t="s">
        <v>815</v>
      </c>
      <c r="C318" s="184">
        <v>146</v>
      </c>
      <c r="D318" s="167"/>
      <c r="E318" s="101">
        <f t="shared" si="24"/>
        <v>146</v>
      </c>
      <c r="F318" s="169"/>
      <c r="G318" s="304">
        <f t="shared" si="25"/>
        <v>1.0764580107645801E-2</v>
      </c>
      <c r="H318" s="300">
        <f t="shared" si="23"/>
        <v>1.0764580107645801E-2</v>
      </c>
      <c r="I318" s="166" t="s">
        <v>815</v>
      </c>
    </row>
    <row r="319" spans="1:9" ht="13.8" x14ac:dyDescent="0.3">
      <c r="A319" s="168"/>
      <c r="B319" s="166" t="s">
        <v>816</v>
      </c>
      <c r="C319" s="184">
        <v>158</v>
      </c>
      <c r="D319" s="167"/>
      <c r="E319" s="101">
        <f t="shared" si="24"/>
        <v>158</v>
      </c>
      <c r="F319" s="169"/>
      <c r="G319" s="304">
        <f t="shared" si="25"/>
        <v>1.1649340116493401E-2</v>
      </c>
      <c r="H319" s="300">
        <f t="shared" si="23"/>
        <v>1.1649340116493401E-2</v>
      </c>
      <c r="I319" s="166" t="s">
        <v>816</v>
      </c>
    </row>
    <row r="320" spans="1:9" ht="15" customHeight="1" x14ac:dyDescent="0.3">
      <c r="A320" s="170"/>
      <c r="B320" s="171" t="s">
        <v>10</v>
      </c>
      <c r="C320" s="228"/>
      <c r="D320" s="172"/>
      <c r="E320" s="174">
        <f>SUM(E284:E319)</f>
        <v>13563</v>
      </c>
      <c r="F320" s="173" t="s">
        <v>5</v>
      </c>
    </row>
    <row r="321" spans="1:9" ht="6.6" customHeight="1" x14ac:dyDescent="0.25">
      <c r="A321" s="369"/>
      <c r="B321" s="370"/>
      <c r="C321" s="370"/>
      <c r="D321" s="370"/>
      <c r="E321" s="370"/>
      <c r="F321" s="371"/>
    </row>
    <row r="322" spans="1:9" ht="15" customHeight="1" x14ac:dyDescent="0.25">
      <c r="A322" s="291" t="s">
        <v>44</v>
      </c>
      <c r="B322" s="287" t="str">
        <f>'Planilha Orçamentária'!D15</f>
        <v>Estudo Técnico Geológico (Riscos em Geral)</v>
      </c>
      <c r="C322" s="288"/>
      <c r="D322" s="289"/>
      <c r="E322" s="288"/>
      <c r="F322" s="290"/>
    </row>
    <row r="323" spans="1:9" ht="13.8" x14ac:dyDescent="0.3">
      <c r="A323" s="168"/>
      <c r="B323" s="166" t="s">
        <v>779</v>
      </c>
      <c r="C323" s="184">
        <v>724</v>
      </c>
      <c r="D323" s="167"/>
      <c r="E323" s="101">
        <f>C323</f>
        <v>724</v>
      </c>
      <c r="F323" s="169"/>
      <c r="G323" s="304">
        <f t="shared" ref="G323:G340" si="26">E323/$E$359</f>
        <v>5.3380520533805202E-2</v>
      </c>
      <c r="H323" s="300">
        <f>IF(C323&lt;200,G323,IF(AND(C323&gt;=200,C323&lt;500),G323/2,IF(C323&gt;=500,G323/3)))</f>
        <v>1.7793506844601733E-2</v>
      </c>
      <c r="I323" s="166" t="s">
        <v>779</v>
      </c>
    </row>
    <row r="324" spans="1:9" ht="13.8" x14ac:dyDescent="0.3">
      <c r="A324" s="168"/>
      <c r="B324" s="166" t="s">
        <v>782</v>
      </c>
      <c r="C324" s="184">
        <v>429</v>
      </c>
      <c r="D324" s="167"/>
      <c r="E324" s="101">
        <f t="shared" ref="E324:E340" si="27">C324</f>
        <v>429</v>
      </c>
      <c r="F324" s="169"/>
      <c r="G324" s="304">
        <f t="shared" si="26"/>
        <v>3.1630170316301706E-2</v>
      </c>
      <c r="H324" s="300">
        <f t="shared" ref="H324:H358" si="28">IF(C324&lt;200,G324,IF(AND(C324&gt;=200,C324&lt;500),G324/2,IF(C324&gt;=500,G324/3)))</f>
        <v>1.5815085158150853E-2</v>
      </c>
      <c r="I324" s="166" t="s">
        <v>782</v>
      </c>
    </row>
    <row r="325" spans="1:9" ht="13.8" x14ac:dyDescent="0.3">
      <c r="A325" s="168"/>
      <c r="B325" s="166" t="s">
        <v>783</v>
      </c>
      <c r="C325" s="184">
        <v>841</v>
      </c>
      <c r="D325" s="167"/>
      <c r="E325" s="101">
        <f t="shared" si="27"/>
        <v>841</v>
      </c>
      <c r="F325" s="169"/>
      <c r="G325" s="304">
        <f t="shared" si="26"/>
        <v>6.2006930620069303E-2</v>
      </c>
      <c r="H325" s="300">
        <f t="shared" si="28"/>
        <v>2.0668976873356434E-2</v>
      </c>
      <c r="I325" s="166" t="s">
        <v>783</v>
      </c>
    </row>
    <row r="326" spans="1:9" ht="13.8" x14ac:dyDescent="0.3">
      <c r="A326" s="168"/>
      <c r="B326" s="166" t="s">
        <v>784</v>
      </c>
      <c r="C326" s="184">
        <v>216</v>
      </c>
      <c r="D326" s="167"/>
      <c r="E326" s="101">
        <f t="shared" si="27"/>
        <v>216</v>
      </c>
      <c r="F326" s="169"/>
      <c r="G326" s="304">
        <f t="shared" si="26"/>
        <v>1.5925680159256803E-2</v>
      </c>
      <c r="H326" s="300">
        <f t="shared" si="28"/>
        <v>7.9628400796284016E-3</v>
      </c>
      <c r="I326" s="166" t="s">
        <v>784</v>
      </c>
    </row>
    <row r="327" spans="1:9" ht="13.8" x14ac:dyDescent="0.3">
      <c r="A327" s="168"/>
      <c r="B327" s="166" t="s">
        <v>785</v>
      </c>
      <c r="C327" s="184">
        <v>668</v>
      </c>
      <c r="D327" s="167"/>
      <c r="E327" s="101">
        <f t="shared" si="27"/>
        <v>668</v>
      </c>
      <c r="F327" s="169"/>
      <c r="G327" s="304">
        <f t="shared" si="26"/>
        <v>4.9251640492516402E-2</v>
      </c>
      <c r="H327" s="300">
        <f t="shared" si="28"/>
        <v>1.6417213497505467E-2</v>
      </c>
      <c r="I327" s="166" t="s">
        <v>785</v>
      </c>
    </row>
    <row r="328" spans="1:9" ht="13.8" x14ac:dyDescent="0.3">
      <c r="A328" s="168"/>
      <c r="B328" s="166" t="s">
        <v>786</v>
      </c>
      <c r="C328" s="184">
        <v>276</v>
      </c>
      <c r="D328" s="167"/>
      <c r="E328" s="101">
        <f t="shared" si="27"/>
        <v>276</v>
      </c>
      <c r="F328" s="169"/>
      <c r="G328" s="304">
        <f t="shared" si="26"/>
        <v>2.0349480203494801E-2</v>
      </c>
      <c r="H328" s="300">
        <f t="shared" si="28"/>
        <v>1.01747401017474E-2</v>
      </c>
      <c r="I328" s="166" t="s">
        <v>786</v>
      </c>
    </row>
    <row r="329" spans="1:9" ht="13.8" x14ac:dyDescent="0.3">
      <c r="A329" s="168"/>
      <c r="B329" s="166" t="s">
        <v>787</v>
      </c>
      <c r="C329" s="184">
        <v>5</v>
      </c>
      <c r="D329" s="167"/>
      <c r="E329" s="101">
        <f t="shared" si="27"/>
        <v>5</v>
      </c>
      <c r="F329" s="169"/>
      <c r="G329" s="304">
        <f t="shared" si="26"/>
        <v>3.6865000368650004E-4</v>
      </c>
      <c r="H329" s="300">
        <f t="shared" si="28"/>
        <v>3.6865000368650004E-4</v>
      </c>
      <c r="I329" s="166" t="s">
        <v>787</v>
      </c>
    </row>
    <row r="330" spans="1:9" ht="13.8" x14ac:dyDescent="0.3">
      <c r="A330" s="168"/>
      <c r="B330" s="166" t="s">
        <v>788</v>
      </c>
      <c r="C330" s="184">
        <v>759</v>
      </c>
      <c r="D330" s="167"/>
      <c r="E330" s="101">
        <f t="shared" si="27"/>
        <v>759</v>
      </c>
      <c r="F330" s="169"/>
      <c r="G330" s="304">
        <f t="shared" si="26"/>
        <v>5.5961070559610707E-2</v>
      </c>
      <c r="H330" s="300">
        <f t="shared" si="28"/>
        <v>1.8653690186536901E-2</v>
      </c>
      <c r="I330" s="166" t="s">
        <v>788</v>
      </c>
    </row>
    <row r="331" spans="1:9" ht="13.8" x14ac:dyDescent="0.3">
      <c r="A331" s="168"/>
      <c r="B331" s="166" t="s">
        <v>789</v>
      </c>
      <c r="C331" s="184">
        <v>776</v>
      </c>
      <c r="D331" s="167"/>
      <c r="E331" s="101">
        <f t="shared" si="27"/>
        <v>776</v>
      </c>
      <c r="F331" s="169"/>
      <c r="G331" s="304">
        <f t="shared" si="26"/>
        <v>5.7214480572144809E-2</v>
      </c>
      <c r="H331" s="300">
        <f t="shared" si="28"/>
        <v>1.9071493524048268E-2</v>
      </c>
      <c r="I331" s="166" t="s">
        <v>789</v>
      </c>
    </row>
    <row r="332" spans="1:9" ht="13.8" x14ac:dyDescent="0.3">
      <c r="A332" s="168"/>
      <c r="B332" s="166" t="s">
        <v>790</v>
      </c>
      <c r="C332" s="184">
        <v>323</v>
      </c>
      <c r="D332" s="167"/>
      <c r="E332" s="101">
        <f t="shared" si="27"/>
        <v>323</v>
      </c>
      <c r="F332" s="169"/>
      <c r="G332" s="304">
        <f t="shared" si="26"/>
        <v>2.3814790238147903E-2</v>
      </c>
      <c r="H332" s="300">
        <f t="shared" si="28"/>
        <v>1.1907395119073952E-2</v>
      </c>
      <c r="I332" s="166" t="s">
        <v>790</v>
      </c>
    </row>
    <row r="333" spans="1:9" ht="13.8" x14ac:dyDescent="0.3">
      <c r="A333" s="168"/>
      <c r="B333" s="166" t="s">
        <v>791</v>
      </c>
      <c r="C333" s="184">
        <v>732</v>
      </c>
      <c r="D333" s="167"/>
      <c r="E333" s="101">
        <f t="shared" si="27"/>
        <v>732</v>
      </c>
      <c r="F333" s="169"/>
      <c r="G333" s="304">
        <f t="shared" si="26"/>
        <v>5.3970360539703603E-2</v>
      </c>
      <c r="H333" s="300">
        <f t="shared" si="28"/>
        <v>1.79901201799012E-2</v>
      </c>
      <c r="I333" s="166" t="s">
        <v>791</v>
      </c>
    </row>
    <row r="334" spans="1:9" ht="13.8" x14ac:dyDescent="0.3">
      <c r="A334" s="168"/>
      <c r="B334" s="166" t="s">
        <v>792</v>
      </c>
      <c r="C334" s="184">
        <v>189</v>
      </c>
      <c r="D334" s="167"/>
      <c r="E334" s="101">
        <f t="shared" si="27"/>
        <v>189</v>
      </c>
      <c r="F334" s="169"/>
      <c r="G334" s="304">
        <f t="shared" si="26"/>
        <v>1.3934970139349702E-2</v>
      </c>
      <c r="H334" s="300">
        <f t="shared" si="28"/>
        <v>1.3934970139349702E-2</v>
      </c>
      <c r="I334" s="166" t="s">
        <v>792</v>
      </c>
    </row>
    <row r="335" spans="1:9" ht="13.8" x14ac:dyDescent="0.3">
      <c r="A335" s="168"/>
      <c r="B335" s="166" t="s">
        <v>793</v>
      </c>
      <c r="C335" s="184">
        <v>921</v>
      </c>
      <c r="D335" s="167"/>
      <c r="E335" s="101">
        <f t="shared" si="27"/>
        <v>921</v>
      </c>
      <c r="F335" s="169"/>
      <c r="G335" s="304">
        <f t="shared" si="26"/>
        <v>6.7905330679053313E-2</v>
      </c>
      <c r="H335" s="300">
        <f t="shared" si="28"/>
        <v>2.2635110226351104E-2</v>
      </c>
      <c r="I335" s="166" t="s">
        <v>793</v>
      </c>
    </row>
    <row r="336" spans="1:9" ht="13.8" x14ac:dyDescent="0.3">
      <c r="A336" s="168"/>
      <c r="B336" s="166" t="s">
        <v>794</v>
      </c>
      <c r="C336" s="184">
        <v>112</v>
      </c>
      <c r="D336" s="167"/>
      <c r="E336" s="101">
        <f t="shared" si="27"/>
        <v>112</v>
      </c>
      <c r="F336" s="169"/>
      <c r="G336" s="304">
        <f t="shared" si="26"/>
        <v>8.2577600825776004E-3</v>
      </c>
      <c r="H336" s="300">
        <f t="shared" si="28"/>
        <v>8.2577600825776004E-3</v>
      </c>
      <c r="I336" s="166" t="s">
        <v>794</v>
      </c>
    </row>
    <row r="337" spans="1:9" ht="13.8" x14ac:dyDescent="0.3">
      <c r="A337" s="168"/>
      <c r="B337" s="166" t="s">
        <v>795</v>
      </c>
      <c r="C337" s="184">
        <v>60</v>
      </c>
      <c r="D337" s="167"/>
      <c r="E337" s="101">
        <f t="shared" si="27"/>
        <v>60</v>
      </c>
      <c r="F337" s="169"/>
      <c r="G337" s="304">
        <f t="shared" si="26"/>
        <v>4.4238000442380007E-3</v>
      </c>
      <c r="H337" s="300">
        <f t="shared" si="28"/>
        <v>4.4238000442380007E-3</v>
      </c>
      <c r="I337" s="166" t="s">
        <v>795</v>
      </c>
    </row>
    <row r="338" spans="1:9" ht="13.8" x14ac:dyDescent="0.3">
      <c r="A338" s="168"/>
      <c r="B338" s="166" t="s">
        <v>796</v>
      </c>
      <c r="C338" s="184">
        <v>54</v>
      </c>
      <c r="D338" s="167"/>
      <c r="E338" s="101">
        <f t="shared" si="27"/>
        <v>54</v>
      </c>
      <c r="F338" s="169"/>
      <c r="G338" s="304">
        <f t="shared" si="26"/>
        <v>3.9814200398142008E-3</v>
      </c>
      <c r="H338" s="300">
        <f t="shared" si="28"/>
        <v>3.9814200398142008E-3</v>
      </c>
      <c r="I338" s="166" t="s">
        <v>796</v>
      </c>
    </row>
    <row r="339" spans="1:9" ht="13.8" x14ac:dyDescent="0.3">
      <c r="A339" s="168"/>
      <c r="B339" s="166" t="s">
        <v>797</v>
      </c>
      <c r="C339" s="184">
        <v>12</v>
      </c>
      <c r="D339" s="167"/>
      <c r="E339" s="101">
        <f t="shared" si="27"/>
        <v>12</v>
      </c>
      <c r="F339" s="169"/>
      <c r="G339" s="304">
        <f t="shared" si="26"/>
        <v>8.8476000884760012E-4</v>
      </c>
      <c r="H339" s="300">
        <f t="shared" si="28"/>
        <v>8.8476000884760012E-4</v>
      </c>
      <c r="I339" s="166" t="s">
        <v>797</v>
      </c>
    </row>
    <row r="340" spans="1:9" ht="13.8" x14ac:dyDescent="0.3">
      <c r="A340" s="168"/>
      <c r="B340" s="166" t="s">
        <v>798</v>
      </c>
      <c r="C340" s="365">
        <v>279</v>
      </c>
      <c r="D340" s="167"/>
      <c r="E340" s="366">
        <f t="shared" si="27"/>
        <v>279</v>
      </c>
      <c r="F340" s="169"/>
      <c r="G340" s="364">
        <f t="shared" si="26"/>
        <v>2.0570670205706701E-2</v>
      </c>
      <c r="H340" s="363">
        <f t="shared" si="28"/>
        <v>1.028533510285335E-2</v>
      </c>
      <c r="I340" s="166" t="s">
        <v>798</v>
      </c>
    </row>
    <row r="341" spans="1:9" ht="13.8" x14ac:dyDescent="0.3">
      <c r="A341" s="168"/>
      <c r="B341" s="166" t="s">
        <v>799</v>
      </c>
      <c r="C341" s="365"/>
      <c r="D341" s="167"/>
      <c r="E341" s="366"/>
      <c r="F341" s="169"/>
      <c r="G341" s="364"/>
      <c r="H341" s="363"/>
      <c r="I341" s="166" t="s">
        <v>799</v>
      </c>
    </row>
    <row r="342" spans="1:9" ht="13.8" x14ac:dyDescent="0.3">
      <c r="A342" s="168"/>
      <c r="B342" s="166" t="s">
        <v>800</v>
      </c>
      <c r="C342" s="365"/>
      <c r="D342" s="167"/>
      <c r="E342" s="366"/>
      <c r="F342" s="169"/>
      <c r="G342" s="364"/>
      <c r="H342" s="363"/>
      <c r="I342" s="166" t="s">
        <v>800</v>
      </c>
    </row>
    <row r="343" spans="1:9" ht="13.8" x14ac:dyDescent="0.3">
      <c r="A343" s="168"/>
      <c r="B343" s="166" t="s">
        <v>801</v>
      </c>
      <c r="C343" s="184">
        <v>302</v>
      </c>
      <c r="D343" s="167"/>
      <c r="E343" s="101">
        <f t="shared" ref="E343:E358" si="29">C343</f>
        <v>302</v>
      </c>
      <c r="F343" s="169"/>
      <c r="G343" s="304">
        <f t="shared" ref="G343:G358" si="30">E343/$E$359</f>
        <v>2.2266460222664604E-2</v>
      </c>
      <c r="H343" s="300">
        <f t="shared" si="28"/>
        <v>1.1133230111332302E-2</v>
      </c>
      <c r="I343" s="166" t="s">
        <v>801</v>
      </c>
    </row>
    <row r="344" spans="1:9" ht="13.8" x14ac:dyDescent="0.3">
      <c r="A344" s="168"/>
      <c r="B344" s="166" t="s">
        <v>802</v>
      </c>
      <c r="C344" s="184">
        <v>135</v>
      </c>
      <c r="D344" s="167"/>
      <c r="E344" s="101">
        <f t="shared" si="29"/>
        <v>135</v>
      </c>
      <c r="F344" s="169"/>
      <c r="G344" s="304">
        <f t="shared" si="30"/>
        <v>9.9535500995355016E-3</v>
      </c>
      <c r="H344" s="300">
        <f t="shared" si="28"/>
        <v>9.9535500995355016E-3</v>
      </c>
      <c r="I344" s="166" t="s">
        <v>802</v>
      </c>
    </row>
    <row r="345" spans="1:9" ht="13.8" x14ac:dyDescent="0.3">
      <c r="A345" s="168"/>
      <c r="B345" s="166" t="s">
        <v>803</v>
      </c>
      <c r="C345" s="184">
        <v>254</v>
      </c>
      <c r="D345" s="167"/>
      <c r="E345" s="101">
        <f t="shared" si="29"/>
        <v>254</v>
      </c>
      <c r="F345" s="169"/>
      <c r="G345" s="304">
        <f t="shared" si="30"/>
        <v>1.8727420187274201E-2</v>
      </c>
      <c r="H345" s="300">
        <f t="shared" si="28"/>
        <v>9.3637100936371006E-3</v>
      </c>
      <c r="I345" s="166" t="s">
        <v>803</v>
      </c>
    </row>
    <row r="346" spans="1:9" ht="13.8" x14ac:dyDescent="0.3">
      <c r="A346" s="168"/>
      <c r="B346" s="166" t="s">
        <v>804</v>
      </c>
      <c r="C346" s="184">
        <v>238</v>
      </c>
      <c r="D346" s="167"/>
      <c r="E346" s="101">
        <f t="shared" si="29"/>
        <v>238</v>
      </c>
      <c r="F346" s="169"/>
      <c r="G346" s="304">
        <f t="shared" si="30"/>
        <v>1.7547740175477403E-2</v>
      </c>
      <c r="H346" s="300">
        <f t="shared" si="28"/>
        <v>8.7738700877387013E-3</v>
      </c>
      <c r="I346" s="166" t="s">
        <v>804</v>
      </c>
    </row>
    <row r="347" spans="1:9" ht="13.8" x14ac:dyDescent="0.3">
      <c r="A347" s="168"/>
      <c r="B347" s="166" t="s">
        <v>805</v>
      </c>
      <c r="C347" s="184">
        <v>6</v>
      </c>
      <c r="D347" s="167"/>
      <c r="E347" s="101">
        <f t="shared" si="29"/>
        <v>6</v>
      </c>
      <c r="F347" s="169"/>
      <c r="G347" s="304">
        <f t="shared" si="30"/>
        <v>4.4238000442380006E-4</v>
      </c>
      <c r="H347" s="300">
        <f t="shared" si="28"/>
        <v>4.4238000442380006E-4</v>
      </c>
      <c r="I347" s="166" t="s">
        <v>805</v>
      </c>
    </row>
    <row r="348" spans="1:9" ht="13.8" x14ac:dyDescent="0.3">
      <c r="A348" s="168"/>
      <c r="B348" s="166" t="s">
        <v>806</v>
      </c>
      <c r="C348" s="184">
        <v>353</v>
      </c>
      <c r="D348" s="167"/>
      <c r="E348" s="101">
        <f t="shared" si="29"/>
        <v>353</v>
      </c>
      <c r="F348" s="169"/>
      <c r="G348" s="304">
        <f t="shared" si="30"/>
        <v>2.6026690260266903E-2</v>
      </c>
      <c r="H348" s="300">
        <f t="shared" si="28"/>
        <v>1.3013345130133452E-2</v>
      </c>
      <c r="I348" s="166" t="s">
        <v>806</v>
      </c>
    </row>
    <row r="349" spans="1:9" ht="13.8" x14ac:dyDescent="0.3">
      <c r="A349" s="168"/>
      <c r="B349" s="166" t="s">
        <v>807</v>
      </c>
      <c r="C349" s="184">
        <v>245</v>
      </c>
      <c r="D349" s="167"/>
      <c r="E349" s="101">
        <f t="shared" si="29"/>
        <v>245</v>
      </c>
      <c r="F349" s="169"/>
      <c r="G349" s="304">
        <f t="shared" si="30"/>
        <v>1.8063850180638504E-2</v>
      </c>
      <c r="H349" s="300">
        <f t="shared" si="28"/>
        <v>9.0319250903192518E-3</v>
      </c>
      <c r="I349" s="166" t="s">
        <v>807</v>
      </c>
    </row>
    <row r="350" spans="1:9" ht="13.8" x14ac:dyDescent="0.3">
      <c r="A350" s="168"/>
      <c r="B350" s="166" t="s">
        <v>808</v>
      </c>
      <c r="C350" s="184">
        <v>1202</v>
      </c>
      <c r="D350" s="167"/>
      <c r="E350" s="101">
        <f t="shared" si="29"/>
        <v>1202</v>
      </c>
      <c r="F350" s="169"/>
      <c r="G350" s="304">
        <f t="shared" si="30"/>
        <v>8.8623460886234615E-2</v>
      </c>
      <c r="H350" s="300">
        <f t="shared" si="28"/>
        <v>2.9541153628744873E-2</v>
      </c>
      <c r="I350" s="166" t="s">
        <v>808</v>
      </c>
    </row>
    <row r="351" spans="1:9" ht="13.8" x14ac:dyDescent="0.3">
      <c r="A351" s="168"/>
      <c r="B351" s="166" t="s">
        <v>809</v>
      </c>
      <c r="C351" s="184">
        <v>452</v>
      </c>
      <c r="D351" s="167"/>
      <c r="E351" s="101">
        <f t="shared" si="29"/>
        <v>452</v>
      </c>
      <c r="F351" s="169"/>
      <c r="G351" s="304">
        <f t="shared" si="30"/>
        <v>3.3325960333259602E-2</v>
      </c>
      <c r="H351" s="300">
        <f t="shared" si="28"/>
        <v>1.6662980166629801E-2</v>
      </c>
      <c r="I351" s="166" t="s">
        <v>809</v>
      </c>
    </row>
    <row r="352" spans="1:9" ht="13.8" x14ac:dyDescent="0.3">
      <c r="A352" s="168"/>
      <c r="B352" s="166" t="s">
        <v>810</v>
      </c>
      <c r="C352" s="184">
        <v>132</v>
      </c>
      <c r="D352" s="167"/>
      <c r="E352" s="101">
        <f t="shared" si="29"/>
        <v>132</v>
      </c>
      <c r="F352" s="169"/>
      <c r="G352" s="304">
        <f t="shared" si="30"/>
        <v>9.7323600973236012E-3</v>
      </c>
      <c r="H352" s="300">
        <f t="shared" si="28"/>
        <v>9.7323600973236012E-3</v>
      </c>
      <c r="I352" s="166" t="s">
        <v>810</v>
      </c>
    </row>
    <row r="353" spans="1:9" ht="13.8" x14ac:dyDescent="0.3">
      <c r="A353" s="168"/>
      <c r="B353" s="166" t="s">
        <v>811</v>
      </c>
      <c r="C353" s="184">
        <v>830</v>
      </c>
      <c r="D353" s="167"/>
      <c r="E353" s="101">
        <f t="shared" si="29"/>
        <v>830</v>
      </c>
      <c r="F353" s="169"/>
      <c r="G353" s="304">
        <f t="shared" si="30"/>
        <v>6.1195900611959009E-2</v>
      </c>
      <c r="H353" s="300">
        <f t="shared" si="28"/>
        <v>2.0398633537319671E-2</v>
      </c>
      <c r="I353" s="166" t="s">
        <v>811</v>
      </c>
    </row>
    <row r="354" spans="1:9" ht="13.8" x14ac:dyDescent="0.3">
      <c r="A354" s="168"/>
      <c r="B354" s="166" t="s">
        <v>812</v>
      </c>
      <c r="C354" s="184">
        <v>721</v>
      </c>
      <c r="D354" s="167"/>
      <c r="E354" s="101">
        <f t="shared" si="29"/>
        <v>721</v>
      </c>
      <c r="F354" s="169"/>
      <c r="G354" s="304">
        <f t="shared" si="30"/>
        <v>5.3159330531593309E-2</v>
      </c>
      <c r="H354" s="300">
        <f t="shared" si="28"/>
        <v>1.7719776843864436E-2</v>
      </c>
      <c r="I354" s="166" t="s">
        <v>812</v>
      </c>
    </row>
    <row r="355" spans="1:9" ht="13.8" x14ac:dyDescent="0.3">
      <c r="A355" s="168"/>
      <c r="B355" s="166" t="s">
        <v>813</v>
      </c>
      <c r="C355" s="184">
        <v>252</v>
      </c>
      <c r="D355" s="167"/>
      <c r="E355" s="101">
        <f t="shared" si="29"/>
        <v>252</v>
      </c>
      <c r="F355" s="169"/>
      <c r="G355" s="304">
        <f t="shared" si="30"/>
        <v>1.8579960185799601E-2</v>
      </c>
      <c r="H355" s="300">
        <f t="shared" si="28"/>
        <v>9.2899800928998005E-3</v>
      </c>
      <c r="I355" s="166" t="s">
        <v>813</v>
      </c>
    </row>
    <row r="356" spans="1:9" ht="13.8" x14ac:dyDescent="0.3">
      <c r="A356" s="168"/>
      <c r="B356" s="166" t="s">
        <v>814</v>
      </c>
      <c r="C356" s="184">
        <v>761</v>
      </c>
      <c r="D356" s="167"/>
      <c r="E356" s="101">
        <f t="shared" si="29"/>
        <v>761</v>
      </c>
      <c r="F356" s="169"/>
      <c r="G356" s="304">
        <f t="shared" si="30"/>
        <v>5.6108530561085307E-2</v>
      </c>
      <c r="H356" s="300">
        <f t="shared" si="28"/>
        <v>1.8702843520361768E-2</v>
      </c>
      <c r="I356" s="166" t="s">
        <v>814</v>
      </c>
    </row>
    <row r="357" spans="1:9" ht="13.8" x14ac:dyDescent="0.3">
      <c r="A357" s="168"/>
      <c r="B357" s="166" t="s">
        <v>815</v>
      </c>
      <c r="C357" s="184">
        <v>146</v>
      </c>
      <c r="D357" s="167"/>
      <c r="E357" s="101">
        <f t="shared" si="29"/>
        <v>146</v>
      </c>
      <c r="F357" s="169"/>
      <c r="G357" s="304">
        <f t="shared" si="30"/>
        <v>1.0764580107645801E-2</v>
      </c>
      <c r="H357" s="300">
        <f t="shared" si="28"/>
        <v>1.0764580107645801E-2</v>
      </c>
      <c r="I357" s="166" t="s">
        <v>815</v>
      </c>
    </row>
    <row r="358" spans="1:9" ht="13.8" x14ac:dyDescent="0.3">
      <c r="A358" s="168"/>
      <c r="B358" s="166" t="s">
        <v>816</v>
      </c>
      <c r="C358" s="184">
        <v>158</v>
      </c>
      <c r="D358" s="167"/>
      <c r="E358" s="101">
        <f t="shared" si="29"/>
        <v>158</v>
      </c>
      <c r="F358" s="169"/>
      <c r="G358" s="304">
        <f t="shared" si="30"/>
        <v>1.1649340116493401E-2</v>
      </c>
      <c r="H358" s="300">
        <f t="shared" si="28"/>
        <v>1.1649340116493401E-2</v>
      </c>
      <c r="I358" s="166" t="s">
        <v>816</v>
      </c>
    </row>
    <row r="359" spans="1:9" ht="15" customHeight="1" x14ac:dyDescent="0.3">
      <c r="A359" s="170"/>
      <c r="B359" s="171" t="s">
        <v>10</v>
      </c>
      <c r="C359" s="228"/>
      <c r="D359" s="172"/>
      <c r="E359" s="174">
        <f>SUM(E323:E358)</f>
        <v>13563</v>
      </c>
      <c r="F359" s="173" t="s">
        <v>5</v>
      </c>
    </row>
    <row r="360" spans="1:9" ht="6.6" customHeight="1" x14ac:dyDescent="0.25">
      <c r="A360" s="369"/>
      <c r="B360" s="370"/>
      <c r="C360" s="370"/>
      <c r="D360" s="370"/>
      <c r="E360" s="370"/>
      <c r="F360" s="371"/>
    </row>
    <row r="361" spans="1:9" ht="15" customHeight="1" x14ac:dyDescent="0.25">
      <c r="A361" s="291" t="s">
        <v>45</v>
      </c>
      <c r="B361" s="287" t="str">
        <f>'Planilha Orçamentária'!D16</f>
        <v>Licença de Software, disponibilização do servidor de imagem e suporte técnico - Regularização Fundiária</v>
      </c>
      <c r="C361" s="288"/>
      <c r="D361" s="289"/>
      <c r="E361" s="288"/>
      <c r="F361" s="290"/>
    </row>
    <row r="362" spans="1:9" ht="15" customHeight="1" x14ac:dyDescent="0.3">
      <c r="A362" s="168"/>
      <c r="B362" s="166" t="s">
        <v>428</v>
      </c>
      <c r="C362" s="184">
        <v>60</v>
      </c>
      <c r="D362" s="167"/>
      <c r="E362" s="101">
        <f>C362</f>
        <v>60</v>
      </c>
      <c r="F362" s="169"/>
      <c r="H362" s="300">
        <f>1/E362</f>
        <v>1.6666666666666666E-2</v>
      </c>
    </row>
    <row r="363" spans="1:9" ht="15" customHeight="1" x14ac:dyDescent="0.3">
      <c r="A363" s="170"/>
      <c r="B363" s="171" t="s">
        <v>10</v>
      </c>
      <c r="C363" s="228"/>
      <c r="D363" s="172"/>
      <c r="E363" s="174">
        <f>SUM(E362:E362)</f>
        <v>60</v>
      </c>
      <c r="F363" s="173" t="s">
        <v>28</v>
      </c>
    </row>
    <row r="364" spans="1:9" ht="6.6" customHeight="1" x14ac:dyDescent="0.25">
      <c r="A364" s="369"/>
      <c r="B364" s="370"/>
      <c r="C364" s="370"/>
      <c r="D364" s="370"/>
      <c r="E364" s="370"/>
      <c r="F364" s="371"/>
    </row>
    <row r="365" spans="1:9" ht="15" customHeight="1" x14ac:dyDescent="0.25">
      <c r="A365" s="291" t="s">
        <v>205</v>
      </c>
      <c r="B365" s="287" t="str">
        <f>'Planilha Orçamentária'!D17</f>
        <v>Treinamento no uso do Sistema de Gestão da Informação em Regularização Fundiária</v>
      </c>
      <c r="C365" s="288"/>
      <c r="D365" s="289"/>
      <c r="E365" s="288"/>
      <c r="F365" s="290"/>
    </row>
    <row r="366" spans="1:9" ht="15" customHeight="1" x14ac:dyDescent="0.3">
      <c r="A366" s="168"/>
      <c r="B366" s="166" t="s">
        <v>443</v>
      </c>
      <c r="C366" s="184">
        <v>40</v>
      </c>
      <c r="D366" s="167"/>
      <c r="E366" s="101">
        <f>C366</f>
        <v>40</v>
      </c>
      <c r="F366" s="169"/>
    </row>
    <row r="367" spans="1:9" ht="15" customHeight="1" x14ac:dyDescent="0.3">
      <c r="A367" s="170"/>
      <c r="B367" s="171" t="s">
        <v>10</v>
      </c>
      <c r="C367" s="228"/>
      <c r="D367" s="172"/>
      <c r="E367" s="174">
        <f>SUM(E366:E366)</f>
        <v>40</v>
      </c>
      <c r="F367" s="173" t="s">
        <v>438</v>
      </c>
    </row>
    <row r="368" spans="1:9" ht="6.6" customHeight="1" x14ac:dyDescent="0.25">
      <c r="A368" s="369"/>
      <c r="B368" s="370"/>
      <c r="C368" s="370"/>
      <c r="D368" s="370"/>
      <c r="E368" s="370"/>
      <c r="F368" s="371"/>
    </row>
  </sheetData>
  <mergeCells count="36">
    <mergeCell ref="A364:F364"/>
    <mergeCell ref="A368:F368"/>
    <mergeCell ref="A243:F243"/>
    <mergeCell ref="A1:F1"/>
    <mergeCell ref="A282:F282"/>
    <mergeCell ref="A321:F321"/>
    <mergeCell ref="A360:F360"/>
    <mergeCell ref="A160:F160"/>
    <mergeCell ref="A165:F165"/>
    <mergeCell ref="A204:F204"/>
    <mergeCell ref="A163:F163"/>
    <mergeCell ref="C140:C142"/>
    <mergeCell ref="C184:C186"/>
    <mergeCell ref="E184:E186"/>
    <mergeCell ref="C340:C342"/>
    <mergeCell ref="E340:E342"/>
    <mergeCell ref="H1:H2"/>
    <mergeCell ref="A2:D2"/>
    <mergeCell ref="B122:F122"/>
    <mergeCell ref="A43:F43"/>
    <mergeCell ref="A82:F82"/>
    <mergeCell ref="A121:F121"/>
    <mergeCell ref="D3:F3"/>
    <mergeCell ref="C223:C225"/>
    <mergeCell ref="E223:E225"/>
    <mergeCell ref="C262:C264"/>
    <mergeCell ref="C301:C303"/>
    <mergeCell ref="E301:E303"/>
    <mergeCell ref="H184:H186"/>
    <mergeCell ref="H223:H225"/>
    <mergeCell ref="H301:H303"/>
    <mergeCell ref="H340:H342"/>
    <mergeCell ref="G184:G186"/>
    <mergeCell ref="G223:G225"/>
    <mergeCell ref="G301:G303"/>
    <mergeCell ref="G340:G342"/>
  </mergeCells>
  <phoneticPr fontId="51" type="noConversion"/>
  <printOptions horizontalCentered="1" gridLines="1"/>
  <pageMargins left="0.54312499999999997" right="0.39370078740157483" top="1.0677083333333333" bottom="0.94488188976377963" header="0" footer="0"/>
  <pageSetup paperSize="9" scale="82" fitToHeight="2" orientation="portrait" r:id="rId1"/>
  <headerFooter>
    <oddHeader xml:space="preserve">&amp;L&amp;G&amp;C
</oddHeader>
    <oddFooter>&amp;RPrefeitura Municipal de Colatina
Travessa Avelino Guerra, 111, Sagrado Coração de Jesus
Telefone: (27) 3177-7000 | https://colatina.es.gov.br/</oddFooter>
  </headerFooter>
  <rowBreaks count="1" manualBreakCount="1">
    <brk id="282" max="5" man="1"/>
  </rowBreaks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M19"/>
  <sheetViews>
    <sheetView view="pageBreakPreview" zoomScaleNormal="100" zoomScaleSheetLayoutView="100" workbookViewId="0">
      <selection activeCell="A11" sqref="A11:B11"/>
    </sheetView>
  </sheetViews>
  <sheetFormatPr defaultColWidth="8.88671875" defaultRowHeight="15.6" x14ac:dyDescent="0.3"/>
  <cols>
    <col min="1" max="1" width="11.6640625" style="30" customWidth="1"/>
    <col min="2" max="2" width="79" style="30" customWidth="1"/>
    <col min="3" max="3" width="6.6640625" style="30" bestFit="1" customWidth="1"/>
    <col min="4" max="4" width="5.88671875" style="30" customWidth="1"/>
    <col min="5" max="5" width="10.5546875" style="30" bestFit="1" customWidth="1"/>
    <col min="6" max="6" width="13.33203125" style="30" bestFit="1" customWidth="1"/>
    <col min="7" max="7" width="11.109375" style="30" bestFit="1" customWidth="1"/>
    <col min="8" max="9" width="13.33203125" style="30" bestFit="1" customWidth="1"/>
    <col min="10" max="10" width="8.88671875" style="30"/>
    <col min="11" max="11" width="13.33203125" style="30" bestFit="1" customWidth="1"/>
    <col min="12" max="12" width="8.88671875" style="30"/>
    <col min="13" max="13" width="13.33203125" style="30" bestFit="1" customWidth="1"/>
    <col min="14" max="16384" width="8.88671875" style="30"/>
  </cols>
  <sheetData>
    <row r="1" spans="1:13" x14ac:dyDescent="0.3">
      <c r="A1" s="498"/>
      <c r="B1" s="50" t="str">
        <f>CPU_Serviços!$C$1</f>
        <v>Prefeitura Municipal de Colatina</v>
      </c>
      <c r="C1" s="50"/>
      <c r="D1" s="50"/>
      <c r="E1" s="50"/>
      <c r="F1" s="50"/>
      <c r="G1" s="50"/>
      <c r="H1" s="50"/>
      <c r="I1" s="50"/>
    </row>
    <row r="2" spans="1:13" x14ac:dyDescent="0.3">
      <c r="A2" s="498"/>
      <c r="B2" s="306" t="str">
        <f>CPU_Serviços!$C$2</f>
        <v>Secretaria Municipal de Habitação e Regularização Fundiária</v>
      </c>
      <c r="C2" s="306"/>
      <c r="D2" s="306"/>
      <c r="E2" s="31"/>
      <c r="F2" s="31"/>
      <c r="G2" s="31"/>
      <c r="H2" s="31"/>
      <c r="I2" s="31"/>
    </row>
    <row r="3" spans="1:13" ht="6.6" customHeight="1" x14ac:dyDescent="0.3">
      <c r="A3" s="498"/>
    </row>
    <row r="4" spans="1:13" x14ac:dyDescent="0.3">
      <c r="A4" s="498"/>
      <c r="B4" s="32" t="s">
        <v>735</v>
      </c>
      <c r="C4" s="32"/>
      <c r="D4" s="32"/>
      <c r="E4" s="32"/>
      <c r="F4" s="32"/>
      <c r="G4" s="32"/>
      <c r="H4" s="32"/>
      <c r="I4" s="32"/>
    </row>
    <row r="5" spans="1:13" x14ac:dyDescent="0.3">
      <c r="A5" s="498"/>
      <c r="B5" s="30" t="s">
        <v>254</v>
      </c>
      <c r="J5" s="471"/>
      <c r="K5" s="471"/>
      <c r="L5" s="471"/>
      <c r="M5" s="471"/>
    </row>
    <row r="6" spans="1:13" x14ac:dyDescent="0.3">
      <c r="A6" s="534" t="s">
        <v>244</v>
      </c>
      <c r="B6" s="534"/>
      <c r="C6" s="248" t="s">
        <v>245</v>
      </c>
      <c r="D6" s="248" t="s">
        <v>246</v>
      </c>
      <c r="E6" s="50"/>
      <c r="F6" s="50"/>
      <c r="G6" s="50"/>
      <c r="H6" s="50"/>
      <c r="I6" s="51"/>
      <c r="J6" s="471"/>
      <c r="K6" s="471"/>
      <c r="L6" s="471"/>
      <c r="M6" s="471"/>
    </row>
    <row r="7" spans="1:13" x14ac:dyDescent="0.3">
      <c r="A7" s="270" t="s">
        <v>255</v>
      </c>
      <c r="B7" s="270"/>
      <c r="C7" s="266">
        <v>20</v>
      </c>
      <c r="D7" s="262" t="s">
        <v>66</v>
      </c>
      <c r="E7" s="33"/>
      <c r="F7" s="33"/>
      <c r="G7" s="33"/>
      <c r="H7" s="33"/>
      <c r="I7" s="51"/>
      <c r="J7" s="45"/>
      <c r="K7" s="33"/>
      <c r="L7" s="45"/>
      <c r="M7" s="33"/>
    </row>
    <row r="8" spans="1:13" ht="30" customHeight="1" x14ac:dyDescent="0.3">
      <c r="A8" s="532" t="s">
        <v>256</v>
      </c>
      <c r="B8" s="532"/>
      <c r="C8" s="72">
        <v>16</v>
      </c>
      <c r="D8" s="71" t="s">
        <v>66</v>
      </c>
      <c r="E8" s="68"/>
      <c r="F8" s="68"/>
      <c r="G8" s="68"/>
      <c r="H8" s="68"/>
      <c r="I8" s="69"/>
      <c r="J8" s="31"/>
      <c r="K8" s="34"/>
      <c r="L8" s="31"/>
      <c r="M8" s="34"/>
    </row>
    <row r="9" spans="1:13" ht="30" customHeight="1" x14ac:dyDescent="0.3">
      <c r="A9" s="532" t="s">
        <v>257</v>
      </c>
      <c r="B9" s="532"/>
      <c r="C9" s="72">
        <v>4</v>
      </c>
      <c r="D9" s="71" t="s">
        <v>66</v>
      </c>
      <c r="E9" s="68"/>
      <c r="F9" s="68"/>
      <c r="G9" s="68"/>
      <c r="H9" s="68"/>
      <c r="I9" s="69"/>
      <c r="J9" s="31"/>
      <c r="K9" s="34"/>
      <c r="L9" s="31"/>
      <c r="M9" s="34"/>
    </row>
    <row r="10" spans="1:13" x14ac:dyDescent="0.3">
      <c r="A10" s="270" t="s">
        <v>58</v>
      </c>
      <c r="B10" s="270"/>
      <c r="C10" s="266">
        <v>20</v>
      </c>
      <c r="D10" s="262" t="s">
        <v>66</v>
      </c>
      <c r="E10" s="68"/>
      <c r="F10" s="68"/>
      <c r="G10" s="68"/>
      <c r="H10" s="68"/>
      <c r="I10" s="69"/>
      <c r="J10" s="31"/>
      <c r="K10" s="34"/>
      <c r="L10" s="31"/>
      <c r="M10" s="34"/>
    </row>
    <row r="11" spans="1:13" ht="30" customHeight="1" x14ac:dyDescent="0.3">
      <c r="A11" s="532" t="s">
        <v>258</v>
      </c>
      <c r="B11" s="532"/>
      <c r="C11" s="72">
        <v>16</v>
      </c>
      <c r="D11" s="71" t="s">
        <v>66</v>
      </c>
    </row>
    <row r="12" spans="1:13" ht="30" customHeight="1" x14ac:dyDescent="0.3">
      <c r="A12" s="532" t="s">
        <v>257</v>
      </c>
      <c r="B12" s="555"/>
      <c r="C12" s="72">
        <v>4</v>
      </c>
      <c r="D12" s="71" t="s">
        <v>66</v>
      </c>
    </row>
    <row r="13" spans="1:13" x14ac:dyDescent="0.3">
      <c r="A13" s="261" t="s">
        <v>60</v>
      </c>
      <c r="B13" s="271"/>
      <c r="C13" s="272">
        <v>24</v>
      </c>
      <c r="D13" s="273" t="s">
        <v>66</v>
      </c>
    </row>
    <row r="14" spans="1:13" x14ac:dyDescent="0.3">
      <c r="A14" s="532" t="s">
        <v>259</v>
      </c>
      <c r="B14" s="532"/>
      <c r="C14" s="72">
        <v>24</v>
      </c>
      <c r="D14" s="71" t="s">
        <v>66</v>
      </c>
    </row>
    <row r="15" spans="1:13" x14ac:dyDescent="0.3">
      <c r="A15" s="265" t="s">
        <v>252</v>
      </c>
      <c r="B15" s="271"/>
      <c r="C15" s="271"/>
      <c r="D15" s="271"/>
    </row>
    <row r="16" spans="1:13" ht="30" customHeight="1" x14ac:dyDescent="0.3">
      <c r="A16" s="554" t="s">
        <v>261</v>
      </c>
      <c r="B16" s="434"/>
      <c r="C16" s="47">
        <v>20</v>
      </c>
      <c r="D16" s="29" t="s">
        <v>5</v>
      </c>
    </row>
    <row r="17" spans="1:4" ht="63.6" customHeight="1" x14ac:dyDescent="0.3">
      <c r="A17" s="554" t="s">
        <v>268</v>
      </c>
      <c r="B17" s="434"/>
      <c r="C17" s="47">
        <v>880</v>
      </c>
      <c r="D17" s="29" t="s">
        <v>5</v>
      </c>
    </row>
    <row r="18" spans="1:4" ht="30" customHeight="1" x14ac:dyDescent="0.3">
      <c r="A18" s="554" t="s">
        <v>262</v>
      </c>
      <c r="B18" s="434"/>
      <c r="C18" s="47">
        <v>1</v>
      </c>
      <c r="D18" s="29" t="s">
        <v>5</v>
      </c>
    </row>
    <row r="19" spans="1:4" x14ac:dyDescent="0.3">
      <c r="A19" s="434" t="s">
        <v>263</v>
      </c>
      <c r="B19" s="434"/>
      <c r="C19" s="47">
        <v>1</v>
      </c>
      <c r="D19" s="29" t="s">
        <v>260</v>
      </c>
    </row>
  </sheetData>
  <mergeCells count="14">
    <mergeCell ref="A11:B11"/>
    <mergeCell ref="A8:B8"/>
    <mergeCell ref="A9:B9"/>
    <mergeCell ref="A12:B12"/>
    <mergeCell ref="J5:M5"/>
    <mergeCell ref="A6:B6"/>
    <mergeCell ref="J6:K6"/>
    <mergeCell ref="L6:M6"/>
    <mergeCell ref="A1:A5"/>
    <mergeCell ref="A14:B14"/>
    <mergeCell ref="A16:B16"/>
    <mergeCell ref="A17:B17"/>
    <mergeCell ref="A18:B18"/>
    <mergeCell ref="A19:B19"/>
  </mergeCells>
  <pageMargins left="0.511811024" right="0.511811024" top="0.78740157499999996" bottom="1.0332291666666666" header="0.31496062000000002" footer="0.31496062000000002"/>
  <pageSetup paperSize="9" scale="91" fitToHeight="0" orientation="portrait" r:id="rId1"/>
  <headerFooter>
    <oddFooter>&amp;RPrefeitura Municipal de Colatina
Travessa Avelino Guerra, 111, Sagrado Coração de Jesus
Telefone: (27) 3177-7000 | https://colatina.es.gov.br/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9"/>
  <sheetViews>
    <sheetView view="pageBreakPreview" zoomScaleNormal="100" zoomScaleSheetLayoutView="100" workbookViewId="0">
      <selection activeCell="B33" sqref="B33"/>
    </sheetView>
  </sheetViews>
  <sheetFormatPr defaultColWidth="8.88671875" defaultRowHeight="15.6" x14ac:dyDescent="0.3"/>
  <cols>
    <col min="1" max="1" width="11.6640625" style="30" customWidth="1"/>
    <col min="2" max="2" width="69" style="30" customWidth="1"/>
    <col min="3" max="3" width="10.5546875" style="30" bestFit="1" customWidth="1"/>
    <col min="4" max="4" width="6.88671875" style="30" customWidth="1"/>
    <col min="5" max="5" width="10.5546875" style="30" bestFit="1" customWidth="1"/>
    <col min="6" max="6" width="13.33203125" style="30" bestFit="1" customWidth="1"/>
    <col min="7" max="7" width="11.109375" style="30" bestFit="1" customWidth="1"/>
    <col min="8" max="9" width="13.33203125" style="30" bestFit="1" customWidth="1"/>
    <col min="10" max="10" width="8.88671875" style="30"/>
    <col min="11" max="11" width="13.33203125" style="30" bestFit="1" customWidth="1"/>
    <col min="12" max="12" width="8.88671875" style="30"/>
    <col min="13" max="13" width="13.33203125" style="30" bestFit="1" customWidth="1"/>
    <col min="14" max="16384" width="8.88671875" style="30"/>
  </cols>
  <sheetData>
    <row r="1" spans="1:13" x14ac:dyDescent="0.3">
      <c r="A1" s="498"/>
      <c r="B1" s="50" t="str">
        <f>CPU_Serviços!$C$1</f>
        <v>Prefeitura Municipal de Colatina</v>
      </c>
      <c r="C1" s="50"/>
      <c r="D1" s="50"/>
      <c r="E1" s="50"/>
      <c r="F1" s="50"/>
      <c r="G1" s="50"/>
      <c r="H1" s="50"/>
      <c r="I1" s="50"/>
    </row>
    <row r="2" spans="1:13" x14ac:dyDescent="0.3">
      <c r="A2" s="498"/>
      <c r="B2" s="306" t="str">
        <f>CPU_Serviços!$C$2</f>
        <v>Secretaria Municipal de Habitação e Regularização Fundiária</v>
      </c>
      <c r="C2" s="306"/>
      <c r="D2" s="306"/>
      <c r="E2" s="31"/>
      <c r="F2" s="31"/>
      <c r="G2" s="31"/>
      <c r="H2" s="31"/>
      <c r="I2" s="31"/>
    </row>
    <row r="3" spans="1:13" ht="6.6" customHeight="1" x14ac:dyDescent="0.3">
      <c r="A3" s="498"/>
    </row>
    <row r="4" spans="1:13" x14ac:dyDescent="0.3">
      <c r="A4" s="498"/>
      <c r="B4" s="32" t="s">
        <v>735</v>
      </c>
      <c r="C4" s="32"/>
      <c r="D4" s="32"/>
      <c r="E4" s="32"/>
      <c r="F4" s="32"/>
      <c r="G4" s="32"/>
      <c r="H4" s="32"/>
      <c r="I4" s="32"/>
    </row>
    <row r="5" spans="1:13" x14ac:dyDescent="0.3">
      <c r="A5" s="498"/>
      <c r="B5" s="30" t="s">
        <v>264</v>
      </c>
      <c r="J5" s="471"/>
      <c r="K5" s="471"/>
      <c r="L5" s="471"/>
      <c r="M5" s="471"/>
    </row>
    <row r="6" spans="1:13" x14ac:dyDescent="0.3">
      <c r="A6" s="534" t="s">
        <v>244</v>
      </c>
      <c r="B6" s="534"/>
      <c r="C6" s="248" t="s">
        <v>245</v>
      </c>
      <c r="D6" s="248" t="s">
        <v>246</v>
      </c>
      <c r="E6" s="50"/>
      <c r="F6" s="50"/>
      <c r="G6" s="50"/>
      <c r="H6" s="50"/>
      <c r="I6" s="51"/>
      <c r="J6" s="471"/>
      <c r="K6" s="471"/>
      <c r="L6" s="471"/>
      <c r="M6" s="471"/>
    </row>
    <row r="7" spans="1:13" x14ac:dyDescent="0.3">
      <c r="A7" s="270" t="s">
        <v>255</v>
      </c>
      <c r="B7" s="270"/>
      <c r="C7" s="266">
        <v>20</v>
      </c>
      <c r="D7" s="262" t="s">
        <v>66</v>
      </c>
      <c r="E7" s="33"/>
      <c r="F7" s="33"/>
      <c r="G7" s="33"/>
      <c r="H7" s="33"/>
      <c r="I7" s="51"/>
      <c r="J7" s="45"/>
      <c r="K7" s="33"/>
      <c r="L7" s="45"/>
      <c r="M7" s="33"/>
    </row>
    <row r="8" spans="1:13" ht="30" customHeight="1" x14ac:dyDescent="0.3">
      <c r="A8" s="532" t="s">
        <v>265</v>
      </c>
      <c r="B8" s="532"/>
      <c r="C8" s="72">
        <v>16</v>
      </c>
      <c r="D8" s="71" t="s">
        <v>66</v>
      </c>
      <c r="E8" s="68"/>
      <c r="F8" s="68"/>
      <c r="G8" s="68"/>
      <c r="H8" s="68"/>
      <c r="I8" s="69"/>
      <c r="J8" s="31"/>
      <c r="K8" s="34"/>
      <c r="L8" s="31"/>
      <c r="M8" s="34"/>
    </row>
    <row r="9" spans="1:13" ht="33" customHeight="1" x14ac:dyDescent="0.3">
      <c r="A9" s="556" t="s">
        <v>257</v>
      </c>
      <c r="B9" s="556"/>
      <c r="C9" s="72">
        <v>4</v>
      </c>
      <c r="D9" s="71" t="s">
        <v>66</v>
      </c>
      <c r="E9" s="68"/>
      <c r="F9" s="68"/>
      <c r="G9" s="68"/>
      <c r="H9" s="68"/>
      <c r="I9" s="69"/>
      <c r="J9" s="31"/>
      <c r="K9" s="34"/>
      <c r="L9" s="31"/>
      <c r="M9" s="34"/>
    </row>
    <row r="10" spans="1:13" x14ac:dyDescent="0.3">
      <c r="A10" s="270" t="s">
        <v>60</v>
      </c>
      <c r="B10" s="270"/>
      <c r="C10" s="266">
        <v>24</v>
      </c>
      <c r="D10" s="262" t="s">
        <v>66</v>
      </c>
      <c r="E10" s="68"/>
      <c r="F10" s="68"/>
      <c r="G10" s="68"/>
      <c r="H10" s="68"/>
      <c r="I10" s="69"/>
      <c r="J10" s="31"/>
      <c r="K10" s="34"/>
      <c r="L10" s="31"/>
      <c r="M10" s="34"/>
    </row>
    <row r="11" spans="1:13" ht="30" customHeight="1" x14ac:dyDescent="0.3">
      <c r="A11" s="532" t="s">
        <v>259</v>
      </c>
      <c r="B11" s="532"/>
      <c r="C11" s="72">
        <v>24</v>
      </c>
      <c r="D11" s="71" t="s">
        <v>66</v>
      </c>
    </row>
    <row r="12" spans="1:13" x14ac:dyDescent="0.3">
      <c r="A12" s="261" t="s">
        <v>266</v>
      </c>
      <c r="B12" s="271"/>
      <c r="C12" s="272">
        <v>20</v>
      </c>
      <c r="D12" s="273" t="s">
        <v>66</v>
      </c>
    </row>
    <row r="13" spans="1:13" ht="28.2" customHeight="1" x14ac:dyDescent="0.3">
      <c r="A13" s="532" t="s">
        <v>267</v>
      </c>
      <c r="B13" s="532"/>
      <c r="C13" s="72">
        <v>16</v>
      </c>
      <c r="D13" s="71" t="s">
        <v>66</v>
      </c>
    </row>
    <row r="14" spans="1:13" ht="29.4" customHeight="1" x14ac:dyDescent="0.3">
      <c r="A14" s="532" t="s">
        <v>257</v>
      </c>
      <c r="B14" s="555"/>
      <c r="C14" s="72">
        <v>4</v>
      </c>
      <c r="D14" s="71" t="s">
        <v>66</v>
      </c>
    </row>
    <row r="15" spans="1:13" x14ac:dyDescent="0.3">
      <c r="A15" s="265" t="s">
        <v>252</v>
      </c>
      <c r="B15" s="271"/>
      <c r="C15" s="271"/>
      <c r="D15" s="271"/>
    </row>
    <row r="16" spans="1:13" ht="30" customHeight="1" x14ac:dyDescent="0.3">
      <c r="A16" s="554" t="s">
        <v>261</v>
      </c>
      <c r="B16" s="434"/>
      <c r="C16" s="47">
        <v>20</v>
      </c>
      <c r="D16" s="29" t="s">
        <v>5</v>
      </c>
    </row>
    <row r="17" spans="1:4" ht="62.4" customHeight="1" x14ac:dyDescent="0.3">
      <c r="A17" s="554" t="s">
        <v>268</v>
      </c>
      <c r="B17" s="434"/>
      <c r="C17" s="73">
        <v>880</v>
      </c>
      <c r="D17" s="74" t="s">
        <v>5</v>
      </c>
    </row>
    <row r="18" spans="1:4" ht="30" customHeight="1" x14ac:dyDescent="0.3">
      <c r="A18" s="554" t="s">
        <v>262</v>
      </c>
      <c r="B18" s="434"/>
      <c r="C18" s="47">
        <v>1</v>
      </c>
      <c r="D18" s="29" t="s">
        <v>5</v>
      </c>
    </row>
    <row r="19" spans="1:4" x14ac:dyDescent="0.3">
      <c r="A19" s="434" t="s">
        <v>263</v>
      </c>
      <c r="B19" s="434"/>
      <c r="C19" s="47">
        <v>1</v>
      </c>
      <c r="D19" s="29" t="s">
        <v>260</v>
      </c>
    </row>
  </sheetData>
  <mergeCells count="14">
    <mergeCell ref="A8:B8"/>
    <mergeCell ref="A1:A5"/>
    <mergeCell ref="J5:M5"/>
    <mergeCell ref="A6:B6"/>
    <mergeCell ref="J6:K6"/>
    <mergeCell ref="L6:M6"/>
    <mergeCell ref="A18:B18"/>
    <mergeCell ref="A19:B19"/>
    <mergeCell ref="A14:B14"/>
    <mergeCell ref="A9:B9"/>
    <mergeCell ref="A11:B11"/>
    <mergeCell ref="A13:B13"/>
    <mergeCell ref="A16:B16"/>
    <mergeCell ref="A17:B17"/>
  </mergeCells>
  <pageMargins left="0.511811024" right="0.511811024" top="0.78740157499999996" bottom="1.07" header="0.31496062000000002" footer="0.31496062000000002"/>
  <pageSetup paperSize="9" scale="96" fitToHeight="0" orientation="portrait" r:id="rId1"/>
  <headerFooter>
    <oddFooter>&amp;RPrefeitura Municipal de Colatina
Travessa Avelino Guerra, 111, Sagrado Coração de Jesus
Telefone: (27) 3177-7000 | https://colatina.es.gov.br/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M37"/>
  <sheetViews>
    <sheetView view="pageBreakPreview" zoomScaleNormal="100" zoomScaleSheetLayoutView="100" workbookViewId="0">
      <selection activeCell="B39" sqref="B39"/>
    </sheetView>
  </sheetViews>
  <sheetFormatPr defaultColWidth="8.88671875" defaultRowHeight="15.6" x14ac:dyDescent="0.3"/>
  <cols>
    <col min="1" max="1" width="12.6640625" style="30" customWidth="1"/>
    <col min="2" max="2" width="66.88671875" style="30" customWidth="1"/>
    <col min="3" max="3" width="10.109375" style="30" bestFit="1" customWidth="1"/>
    <col min="4" max="4" width="4.88671875" style="30" bestFit="1" customWidth="1"/>
    <col min="5" max="5" width="7.5546875" style="30" bestFit="1" customWidth="1"/>
    <col min="6" max="6" width="13.33203125" style="30" bestFit="1" customWidth="1"/>
    <col min="7" max="7" width="11.109375" style="30" bestFit="1" customWidth="1"/>
    <col min="8" max="9" width="13.33203125" style="30" bestFit="1" customWidth="1"/>
    <col min="10" max="10" width="8.88671875" style="30"/>
    <col min="11" max="11" width="13.33203125" style="30" bestFit="1" customWidth="1"/>
    <col min="12" max="12" width="8.88671875" style="30"/>
    <col min="13" max="13" width="13.33203125" style="30" bestFit="1" customWidth="1"/>
    <col min="14" max="16384" width="8.88671875" style="30"/>
  </cols>
  <sheetData>
    <row r="1" spans="1:13" x14ac:dyDescent="0.3">
      <c r="A1" s="498"/>
      <c r="B1" s="50" t="str">
        <f>CPU_Serviços!$C$1</f>
        <v>Prefeitura Municipal de Colatina</v>
      </c>
      <c r="C1" s="50"/>
      <c r="D1" s="50"/>
      <c r="E1" s="50"/>
      <c r="F1" s="50"/>
      <c r="G1" s="50"/>
      <c r="H1" s="50"/>
      <c r="I1" s="50"/>
    </row>
    <row r="2" spans="1:13" x14ac:dyDescent="0.3">
      <c r="A2" s="498"/>
      <c r="B2" s="306" t="str">
        <f>CPU_Serviços!$C$2</f>
        <v>Secretaria Municipal de Habitação e Regularização Fundiária</v>
      </c>
      <c r="C2" s="306"/>
      <c r="D2" s="306"/>
      <c r="E2" s="31"/>
      <c r="F2" s="31"/>
      <c r="G2" s="31"/>
      <c r="H2" s="31"/>
      <c r="I2" s="31"/>
    </row>
    <row r="3" spans="1:13" x14ac:dyDescent="0.3">
      <c r="A3" s="498"/>
      <c r="B3" s="32" t="s">
        <v>735</v>
      </c>
      <c r="C3" s="32"/>
      <c r="D3" s="32"/>
      <c r="E3" s="32"/>
      <c r="F3" s="32"/>
      <c r="G3" s="32"/>
      <c r="H3" s="32"/>
      <c r="I3" s="32"/>
    </row>
    <row r="4" spans="1:13" ht="41.4" customHeight="1" x14ac:dyDescent="0.3">
      <c r="A4" s="498"/>
      <c r="B4" s="560" t="s">
        <v>449</v>
      </c>
      <c r="C4" s="560"/>
      <c r="D4" s="560"/>
      <c r="E4" s="560"/>
      <c r="J4" s="471"/>
      <c r="K4" s="471"/>
      <c r="L4" s="471"/>
      <c r="M4" s="471"/>
    </row>
    <row r="5" spans="1:13" x14ac:dyDescent="0.3">
      <c r="A5" s="534" t="s">
        <v>244</v>
      </c>
      <c r="B5" s="534"/>
      <c r="C5" s="248" t="s">
        <v>245</v>
      </c>
      <c r="D5" s="248" t="s">
        <v>246</v>
      </c>
      <c r="E5" s="248" t="s">
        <v>280</v>
      </c>
      <c r="F5" s="50"/>
      <c r="G5" s="50"/>
      <c r="H5" s="50"/>
      <c r="I5" s="51"/>
      <c r="J5" s="471"/>
      <c r="K5" s="471"/>
      <c r="L5" s="471"/>
      <c r="M5" s="471"/>
    </row>
    <row r="6" spans="1:13" ht="82.5" customHeight="1" x14ac:dyDescent="0.3">
      <c r="A6" s="558" t="s">
        <v>283</v>
      </c>
      <c r="B6" s="559"/>
      <c r="C6" s="75">
        <v>100000</v>
      </c>
      <c r="D6" s="75" t="s">
        <v>6</v>
      </c>
      <c r="E6" s="75">
        <v>1</v>
      </c>
      <c r="F6" s="50"/>
      <c r="G6" s="50"/>
      <c r="H6" s="50"/>
      <c r="I6" s="51"/>
      <c r="J6" s="33"/>
      <c r="K6" s="33"/>
      <c r="L6" s="33"/>
      <c r="M6" s="33"/>
    </row>
    <row r="7" spans="1:13" x14ac:dyDescent="0.3">
      <c r="A7" s="258" t="s">
        <v>281</v>
      </c>
      <c r="B7" s="251"/>
      <c r="C7" s="252"/>
      <c r="D7" s="253"/>
      <c r="E7" s="262"/>
      <c r="F7" s="33"/>
      <c r="G7" s="33"/>
      <c r="H7" s="33"/>
      <c r="I7" s="51"/>
      <c r="J7" s="45"/>
      <c r="K7" s="33"/>
      <c r="L7" s="45"/>
      <c r="M7" s="33"/>
    </row>
    <row r="8" spans="1:13" x14ac:dyDescent="0.3">
      <c r="A8" s="556" t="s">
        <v>282</v>
      </c>
      <c r="B8" s="557"/>
      <c r="C8" s="72">
        <v>704</v>
      </c>
      <c r="D8" s="71" t="s">
        <v>66</v>
      </c>
      <c r="E8" s="76">
        <f>C8/C6</f>
        <v>7.0400000000000003E-3</v>
      </c>
      <c r="F8" s="68"/>
      <c r="G8" s="68"/>
      <c r="H8" s="68"/>
      <c r="I8" s="69"/>
      <c r="J8" s="31"/>
      <c r="K8" s="34"/>
      <c r="L8" s="31"/>
      <c r="M8" s="34"/>
    </row>
    <row r="9" spans="1:13" x14ac:dyDescent="0.3">
      <c r="A9" s="254" t="s">
        <v>284</v>
      </c>
      <c r="B9" s="255"/>
      <c r="C9" s="256"/>
      <c r="D9" s="257"/>
      <c r="E9" s="263"/>
      <c r="F9" s="68"/>
      <c r="G9" s="68"/>
      <c r="H9" s="68"/>
      <c r="I9" s="69"/>
      <c r="J9" s="31"/>
      <c r="K9" s="34"/>
      <c r="L9" s="31"/>
      <c r="M9" s="34"/>
    </row>
    <row r="10" spans="1:13" x14ac:dyDescent="0.3">
      <c r="A10" s="563" t="s">
        <v>282</v>
      </c>
      <c r="B10" s="563"/>
      <c r="C10" s="78">
        <v>1408</v>
      </c>
      <c r="D10" s="29" t="s">
        <v>66</v>
      </c>
      <c r="E10" s="76">
        <f>C10/C6</f>
        <v>1.4080000000000001E-2</v>
      </c>
      <c r="F10" s="68"/>
      <c r="G10" s="68"/>
      <c r="H10" s="68"/>
      <c r="I10" s="69"/>
      <c r="J10" s="31"/>
      <c r="K10" s="34"/>
      <c r="L10" s="31"/>
      <c r="M10" s="34"/>
    </row>
    <row r="11" spans="1:13" ht="31.2" x14ac:dyDescent="0.3">
      <c r="A11" s="259" t="s">
        <v>63</v>
      </c>
      <c r="B11" s="260"/>
      <c r="C11" s="256"/>
      <c r="D11" s="257"/>
      <c r="E11" s="264"/>
    </row>
    <row r="12" spans="1:13" x14ac:dyDescent="0.3">
      <c r="A12" s="555" t="s">
        <v>285</v>
      </c>
      <c r="B12" s="555"/>
      <c r="C12" s="72">
        <v>176</v>
      </c>
      <c r="D12" s="71" t="s">
        <v>66</v>
      </c>
      <c r="E12" s="79">
        <f>C12/C6</f>
        <v>1.7600000000000001E-3</v>
      </c>
    </row>
    <row r="13" spans="1:13" x14ac:dyDescent="0.3">
      <c r="A13" s="261" t="s">
        <v>447</v>
      </c>
      <c r="B13" s="260"/>
      <c r="C13" s="256"/>
      <c r="D13" s="257"/>
      <c r="E13" s="264"/>
    </row>
    <row r="14" spans="1:13" x14ac:dyDescent="0.3">
      <c r="A14" s="555" t="s">
        <v>454</v>
      </c>
      <c r="B14" s="555"/>
      <c r="C14" s="72">
        <v>176</v>
      </c>
      <c r="D14" s="71" t="s">
        <v>66</v>
      </c>
      <c r="E14" s="79">
        <f>C14/C32</f>
        <v>4.4000000000000003E-3</v>
      </c>
    </row>
    <row r="15" spans="1:13" x14ac:dyDescent="0.3">
      <c r="A15" s="261" t="s">
        <v>286</v>
      </c>
      <c r="B15" s="260"/>
      <c r="C15" s="256"/>
      <c r="D15" s="257"/>
      <c r="E15" s="252"/>
    </row>
    <row r="16" spans="1:13" x14ac:dyDescent="0.3">
      <c r="A16" s="555" t="s">
        <v>287</v>
      </c>
      <c r="B16" s="555"/>
      <c r="C16" s="72">
        <v>4</v>
      </c>
      <c r="D16" s="71" t="s">
        <v>28</v>
      </c>
      <c r="E16" s="79">
        <f>C16/C6</f>
        <v>4.0000000000000003E-5</v>
      </c>
    </row>
    <row r="17" spans="1:5" x14ac:dyDescent="0.3">
      <c r="A17" s="265" t="s">
        <v>288</v>
      </c>
      <c r="B17" s="265"/>
      <c r="C17" s="265"/>
      <c r="D17" s="265"/>
      <c r="E17" s="266"/>
    </row>
    <row r="18" spans="1:5" x14ac:dyDescent="0.3">
      <c r="A18" s="434" t="s">
        <v>287</v>
      </c>
      <c r="B18" s="434"/>
      <c r="C18" s="47">
        <v>4</v>
      </c>
      <c r="D18" s="29" t="s">
        <v>28</v>
      </c>
      <c r="E18" s="79">
        <f>C18/C6</f>
        <v>4.0000000000000003E-5</v>
      </c>
    </row>
    <row r="19" spans="1:5" x14ac:dyDescent="0.3">
      <c r="A19" s="265" t="s">
        <v>289</v>
      </c>
      <c r="B19" s="265"/>
      <c r="C19" s="267">
        <v>2</v>
      </c>
      <c r="D19" s="268" t="s">
        <v>5</v>
      </c>
      <c r="E19" s="269">
        <f>C19/C6</f>
        <v>2.0000000000000002E-5</v>
      </c>
    </row>
    <row r="20" spans="1:5" x14ac:dyDescent="0.3">
      <c r="A20" s="30" t="s">
        <v>281</v>
      </c>
      <c r="C20" s="79">
        <v>4</v>
      </c>
      <c r="D20" s="29" t="s">
        <v>66</v>
      </c>
      <c r="E20" s="79">
        <f>$E$19*C20</f>
        <v>8.0000000000000007E-5</v>
      </c>
    </row>
    <row r="21" spans="1:5" x14ac:dyDescent="0.3">
      <c r="A21" s="30" t="s">
        <v>284</v>
      </c>
      <c r="C21" s="79">
        <v>4</v>
      </c>
      <c r="D21" s="29" t="s">
        <v>66</v>
      </c>
      <c r="E21" s="79">
        <f>$E$19*C21</f>
        <v>8.0000000000000007E-5</v>
      </c>
    </row>
    <row r="22" spans="1:5" x14ac:dyDescent="0.3">
      <c r="A22" s="30" t="s">
        <v>290</v>
      </c>
      <c r="C22" s="79">
        <v>0.64</v>
      </c>
      <c r="D22" s="29" t="s">
        <v>66</v>
      </c>
      <c r="E22" s="79">
        <f>$E$19*C22</f>
        <v>1.2800000000000001E-5</v>
      </c>
    </row>
    <row r="23" spans="1:5" x14ac:dyDescent="0.3">
      <c r="A23" s="30" t="s">
        <v>56</v>
      </c>
      <c r="C23" s="79">
        <v>8</v>
      </c>
      <c r="D23" s="29" t="s">
        <v>66</v>
      </c>
      <c r="E23" s="79">
        <f>$E$19*C23</f>
        <v>1.6000000000000001E-4</v>
      </c>
    </row>
    <row r="24" spans="1:5" x14ac:dyDescent="0.3">
      <c r="A24" s="30" t="s">
        <v>291</v>
      </c>
      <c r="C24" s="79">
        <v>1.8200000000000001E-2</v>
      </c>
      <c r="D24" s="29" t="s">
        <v>28</v>
      </c>
      <c r="E24" s="79">
        <f>IF($E$19*C24&lt;0.00001,0.00001,$E$19*C24)</f>
        <v>1.0000000000000001E-5</v>
      </c>
    </row>
    <row r="25" spans="1:5" x14ac:dyDescent="0.3">
      <c r="A25" s="30" t="s">
        <v>292</v>
      </c>
      <c r="C25" s="79">
        <v>6.3E-2</v>
      </c>
      <c r="D25" s="29" t="s">
        <v>76</v>
      </c>
      <c r="E25" s="79">
        <f>IF($E$19*C25&lt;0.00001,0.00001,$E$19*C25)</f>
        <v>1.0000000000000001E-5</v>
      </c>
    </row>
    <row r="26" spans="1:5" x14ac:dyDescent="0.3">
      <c r="A26" s="261" t="s">
        <v>450</v>
      </c>
      <c r="B26" s="265"/>
      <c r="C26" s="267"/>
      <c r="D26" s="268"/>
      <c r="E26" s="269"/>
    </row>
    <row r="27" spans="1:5" x14ac:dyDescent="0.3">
      <c r="A27" s="30" t="s">
        <v>451</v>
      </c>
      <c r="C27" s="79">
        <v>5</v>
      </c>
      <c r="D27" s="29" t="s">
        <v>260</v>
      </c>
      <c r="E27" s="79">
        <f>C27/C32</f>
        <v>1.25E-4</v>
      </c>
    </row>
    <row r="29" spans="1:5" ht="15.6" customHeight="1" x14ac:dyDescent="0.3">
      <c r="A29" s="561" t="s">
        <v>293</v>
      </c>
      <c r="B29" s="561"/>
      <c r="C29" s="561"/>
      <c r="D29" s="561"/>
      <c r="E29" s="561"/>
    </row>
    <row r="30" spans="1:5" x14ac:dyDescent="0.3">
      <c r="A30" s="562" t="s">
        <v>294</v>
      </c>
      <c r="B30" s="562"/>
      <c r="C30" s="562"/>
      <c r="D30" s="562"/>
      <c r="E30" s="562"/>
    </row>
    <row r="32" spans="1:5" x14ac:dyDescent="0.3">
      <c r="A32" s="561" t="s">
        <v>452</v>
      </c>
      <c r="B32" s="561"/>
      <c r="C32" s="78">
        <v>40000</v>
      </c>
      <c r="D32" s="29" t="s">
        <v>6</v>
      </c>
      <c r="E32" s="47">
        <v>1</v>
      </c>
    </row>
    <row r="33" spans="1:5" ht="26.4" customHeight="1" x14ac:dyDescent="0.3">
      <c r="A33" s="561"/>
      <c r="B33" s="561"/>
    </row>
    <row r="34" spans="1:5" x14ac:dyDescent="0.3">
      <c r="A34" s="561" t="s">
        <v>453</v>
      </c>
      <c r="B34" s="561"/>
      <c r="C34" s="561"/>
      <c r="D34" s="561"/>
      <c r="E34" s="561"/>
    </row>
    <row r="35" spans="1:5" x14ac:dyDescent="0.3">
      <c r="A35" s="561"/>
      <c r="B35" s="561"/>
      <c r="C35" s="561"/>
      <c r="D35" s="561"/>
      <c r="E35" s="561"/>
    </row>
    <row r="36" spans="1:5" x14ac:dyDescent="0.3">
      <c r="A36" s="561"/>
      <c r="B36" s="561"/>
      <c r="C36" s="561"/>
      <c r="D36" s="561"/>
      <c r="E36" s="561"/>
    </row>
    <row r="37" spans="1:5" x14ac:dyDescent="0.3">
      <c r="A37" s="561"/>
      <c r="B37" s="561"/>
      <c r="C37" s="561"/>
      <c r="D37" s="561"/>
      <c r="E37" s="561"/>
    </row>
  </sheetData>
  <mergeCells count="17">
    <mergeCell ref="A18:B18"/>
    <mergeCell ref="A1:A4"/>
    <mergeCell ref="A32:B33"/>
    <mergeCell ref="A34:E37"/>
    <mergeCell ref="A14:B14"/>
    <mergeCell ref="A29:E29"/>
    <mergeCell ref="A30:E30"/>
    <mergeCell ref="A16:B16"/>
    <mergeCell ref="A10:B10"/>
    <mergeCell ref="A12:B12"/>
    <mergeCell ref="J4:M4"/>
    <mergeCell ref="A5:B5"/>
    <mergeCell ref="J5:K5"/>
    <mergeCell ref="L5:M5"/>
    <mergeCell ref="A8:B8"/>
    <mergeCell ref="A6:B6"/>
    <mergeCell ref="B4:E4"/>
  </mergeCells>
  <pageMargins left="0.511811024" right="0.511811024" top="0.78740157499999996" bottom="1.0083333333333333" header="0.31496062000000002" footer="0.31496062000000002"/>
  <pageSetup paperSize="9" scale="92" fitToHeight="0" orientation="portrait" r:id="rId1"/>
  <headerFooter>
    <oddFooter>&amp;RPrefeitura Municipal de Colatina
Travessa Avelino Guerra, 111, Sagrado Coração de Jesus
Telefone: (27) 3177-7000 | https://colatina.es.gov.br/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L16"/>
  <sheetViews>
    <sheetView view="pageBreakPreview" zoomScaleNormal="100" zoomScaleSheetLayoutView="100" workbookViewId="0">
      <selection activeCell="B31" sqref="B31"/>
    </sheetView>
  </sheetViews>
  <sheetFormatPr defaultColWidth="8.88671875" defaultRowHeight="15.6" x14ac:dyDescent="0.3"/>
  <cols>
    <col min="1" max="1" width="11.5546875" style="30" customWidth="1"/>
    <col min="2" max="2" width="66.88671875" style="30" customWidth="1"/>
    <col min="3" max="4" width="10.5546875" style="30" bestFit="1" customWidth="1"/>
    <col min="5" max="5" width="13.33203125" style="30" bestFit="1" customWidth="1"/>
    <col min="6" max="6" width="11.109375" style="30" bestFit="1" customWidth="1"/>
    <col min="7" max="8" width="13.33203125" style="30" bestFit="1" customWidth="1"/>
    <col min="9" max="9" width="8.88671875" style="30"/>
    <col min="10" max="10" width="13.33203125" style="30" bestFit="1" customWidth="1"/>
    <col min="11" max="11" width="8.88671875" style="30"/>
    <col min="12" max="12" width="13.33203125" style="30" bestFit="1" customWidth="1"/>
    <col min="13" max="16384" width="8.88671875" style="30"/>
  </cols>
  <sheetData>
    <row r="1" spans="1:12" x14ac:dyDescent="0.3">
      <c r="A1" s="498"/>
      <c r="B1" s="50" t="str">
        <f>CPU_Serviços!$C$1</f>
        <v>Prefeitura Municipal de Colatina</v>
      </c>
      <c r="C1" s="50"/>
      <c r="D1" s="50"/>
      <c r="E1" s="50"/>
      <c r="F1" s="50"/>
      <c r="G1" s="50"/>
      <c r="H1" s="50"/>
    </row>
    <row r="2" spans="1:12" x14ac:dyDescent="0.3">
      <c r="A2" s="498"/>
      <c r="B2" s="306" t="str">
        <f>CPU_Serviços!$C$2</f>
        <v>Secretaria Municipal de Habitação e Regularização Fundiária</v>
      </c>
      <c r="C2" s="306"/>
      <c r="D2" s="306"/>
      <c r="E2" s="31"/>
      <c r="F2" s="31"/>
      <c r="G2" s="31"/>
      <c r="H2" s="31"/>
    </row>
    <row r="3" spans="1:12" ht="6.6" customHeight="1" x14ac:dyDescent="0.3">
      <c r="A3" s="498"/>
    </row>
    <row r="4" spans="1:12" x14ac:dyDescent="0.3">
      <c r="A4" s="498"/>
      <c r="B4" s="32" t="s">
        <v>735</v>
      </c>
      <c r="C4" s="32"/>
      <c r="D4" s="32"/>
      <c r="E4" s="32"/>
      <c r="F4" s="32"/>
      <c r="G4" s="32"/>
      <c r="H4" s="32"/>
    </row>
    <row r="5" spans="1:12" ht="15.6" customHeight="1" x14ac:dyDescent="0.3">
      <c r="A5" s="498"/>
      <c r="B5" s="296" t="s">
        <v>753</v>
      </c>
      <c r="C5" s="296"/>
      <c r="D5" s="296"/>
      <c r="I5" s="471"/>
      <c r="J5" s="471"/>
      <c r="K5" s="471"/>
      <c r="L5" s="471"/>
    </row>
    <row r="6" spans="1:12" x14ac:dyDescent="0.3">
      <c r="A6" s="534" t="s">
        <v>244</v>
      </c>
      <c r="B6" s="534"/>
      <c r="C6" s="248" t="s">
        <v>245</v>
      </c>
      <c r="D6" s="248" t="s">
        <v>246</v>
      </c>
      <c r="E6" s="50"/>
      <c r="F6" s="50"/>
      <c r="G6" s="50"/>
      <c r="H6" s="51"/>
      <c r="I6" s="471"/>
      <c r="J6" s="471"/>
      <c r="K6" s="471"/>
      <c r="L6" s="471"/>
    </row>
    <row r="7" spans="1:12" ht="51" customHeight="1" x14ac:dyDescent="0.3">
      <c r="A7" s="565" t="s">
        <v>295</v>
      </c>
      <c r="B7" s="566"/>
      <c r="C7" s="75">
        <v>1</v>
      </c>
      <c r="D7" s="75" t="s">
        <v>28</v>
      </c>
      <c r="E7" s="50"/>
      <c r="F7" s="50"/>
      <c r="G7" s="50"/>
      <c r="H7" s="51"/>
      <c r="I7" s="33"/>
      <c r="J7" s="33"/>
      <c r="K7" s="33"/>
      <c r="L7" s="33"/>
    </row>
    <row r="8" spans="1:12" x14ac:dyDescent="0.3">
      <c r="A8" s="564" t="s">
        <v>296</v>
      </c>
      <c r="B8" s="564"/>
      <c r="C8" s="564"/>
      <c r="D8" s="564"/>
      <c r="E8" s="50"/>
      <c r="F8" s="50"/>
      <c r="G8" s="50"/>
      <c r="H8" s="51"/>
      <c r="I8" s="33"/>
      <c r="J8" s="33"/>
      <c r="K8" s="33"/>
      <c r="L8" s="33"/>
    </row>
    <row r="9" spans="1:12" x14ac:dyDescent="0.3">
      <c r="A9" s="250" t="s">
        <v>255</v>
      </c>
      <c r="B9" s="251"/>
      <c r="C9" s="252"/>
      <c r="D9" s="253"/>
      <c r="E9" s="33"/>
      <c r="F9" s="33"/>
      <c r="G9" s="33"/>
      <c r="H9" s="51"/>
      <c r="I9" s="45"/>
      <c r="J9" s="33"/>
      <c r="K9" s="45"/>
      <c r="L9" s="33"/>
    </row>
    <row r="10" spans="1:12" ht="65.25" customHeight="1" x14ac:dyDescent="0.3">
      <c r="A10" s="556" t="s">
        <v>297</v>
      </c>
      <c r="B10" s="557"/>
      <c r="C10" s="72">
        <v>176</v>
      </c>
      <c r="D10" s="71" t="s">
        <v>66</v>
      </c>
      <c r="E10" s="68"/>
      <c r="F10" s="68"/>
      <c r="G10" s="68"/>
      <c r="H10" s="69"/>
      <c r="I10" s="31"/>
      <c r="J10" s="34"/>
      <c r="K10" s="31"/>
      <c r="L10" s="34"/>
    </row>
    <row r="11" spans="1:12" x14ac:dyDescent="0.3">
      <c r="A11" s="254" t="s">
        <v>60</v>
      </c>
      <c r="B11" s="255"/>
      <c r="C11" s="256"/>
      <c r="D11" s="257"/>
      <c r="E11" s="68"/>
      <c r="F11" s="68"/>
      <c r="G11" s="68"/>
      <c r="H11" s="69"/>
      <c r="I11" s="31"/>
      <c r="J11" s="34"/>
      <c r="K11" s="31"/>
      <c r="L11" s="34"/>
    </row>
    <row r="12" spans="1:12" ht="32.4" customHeight="1" x14ac:dyDescent="0.3">
      <c r="A12" s="436" t="s">
        <v>298</v>
      </c>
      <c r="B12" s="436"/>
      <c r="C12" s="75">
        <v>176</v>
      </c>
      <c r="D12" s="74" t="s">
        <v>66</v>
      </c>
      <c r="E12" s="68"/>
      <c r="F12" s="68"/>
      <c r="G12" s="68"/>
      <c r="H12" s="69"/>
      <c r="I12" s="31"/>
      <c r="J12" s="34"/>
      <c r="K12" s="31"/>
      <c r="L12" s="34"/>
    </row>
    <row r="13" spans="1:12" x14ac:dyDescent="0.3">
      <c r="A13" s="259" t="s">
        <v>58</v>
      </c>
      <c r="B13" s="260"/>
      <c r="C13" s="256"/>
      <c r="D13" s="257"/>
    </row>
    <row r="14" spans="1:12" ht="48" customHeight="1" x14ac:dyDescent="0.3">
      <c r="A14" s="532" t="s">
        <v>299</v>
      </c>
      <c r="B14" s="532"/>
      <c r="C14" s="72">
        <v>44</v>
      </c>
      <c r="D14" s="71" t="s">
        <v>66</v>
      </c>
    </row>
    <row r="15" spans="1:12" x14ac:dyDescent="0.3">
      <c r="A15" s="261" t="s">
        <v>300</v>
      </c>
      <c r="B15" s="260"/>
      <c r="C15" s="256"/>
      <c r="D15" s="257"/>
    </row>
    <row r="16" spans="1:12" ht="47.25" customHeight="1" x14ac:dyDescent="0.3">
      <c r="A16" s="532" t="s">
        <v>301</v>
      </c>
      <c r="B16" s="532"/>
      <c r="C16" s="72">
        <v>44</v>
      </c>
      <c r="D16" s="71" t="s">
        <v>66</v>
      </c>
    </row>
  </sheetData>
  <mergeCells count="11">
    <mergeCell ref="A16:B16"/>
    <mergeCell ref="A1:A5"/>
    <mergeCell ref="I5:L5"/>
    <mergeCell ref="A6:B6"/>
    <mergeCell ref="I6:J6"/>
    <mergeCell ref="K6:L6"/>
    <mergeCell ref="A8:D8"/>
    <mergeCell ref="A7:B7"/>
    <mergeCell ref="A10:B10"/>
    <mergeCell ref="A12:B12"/>
    <mergeCell ref="A14:B14"/>
  </mergeCells>
  <pageMargins left="0.511811024" right="0.511811024" top="0.78740157499999996" bottom="1.0672916666666667" header="0.31496062000000002" footer="0.31496062000000002"/>
  <pageSetup paperSize="9" scale="94" fitToHeight="0" orientation="portrait" r:id="rId1"/>
  <headerFooter>
    <oddFooter>&amp;RPrefeitura Municipal de Colatina
Travessa Avelino Guerra, 111, Sagrado Coração de Jesus
Telefone: (27) 3177-7000 | https://colatina.es.gov.br/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22603-9643-4817-9C67-0AF74E7510FA}">
  <sheetPr>
    <tabColor rgb="FF92D050"/>
    <pageSetUpPr fitToPage="1"/>
  </sheetPr>
  <dimension ref="A1:L11"/>
  <sheetViews>
    <sheetView view="pageBreakPreview" zoomScaleNormal="100" zoomScaleSheetLayoutView="100" workbookViewId="0">
      <selection activeCell="B5" sqref="B5"/>
    </sheetView>
  </sheetViews>
  <sheetFormatPr defaultColWidth="8.88671875" defaultRowHeight="15.6" x14ac:dyDescent="0.3"/>
  <cols>
    <col min="1" max="1" width="11.5546875" style="30" customWidth="1"/>
    <col min="2" max="2" width="66.88671875" style="30" customWidth="1"/>
    <col min="3" max="4" width="10.5546875" style="30" bestFit="1" customWidth="1"/>
    <col min="5" max="5" width="13.33203125" style="30" bestFit="1" customWidth="1"/>
    <col min="6" max="6" width="11.109375" style="30" bestFit="1" customWidth="1"/>
    <col min="7" max="8" width="13.33203125" style="30" bestFit="1" customWidth="1"/>
    <col min="9" max="9" width="8.88671875" style="30"/>
    <col min="10" max="10" width="13.33203125" style="30" bestFit="1" customWidth="1"/>
    <col min="11" max="11" width="8.88671875" style="30"/>
    <col min="12" max="12" width="13.33203125" style="30" bestFit="1" customWidth="1"/>
    <col min="13" max="16384" width="8.88671875" style="30"/>
  </cols>
  <sheetData>
    <row r="1" spans="1:12" x14ac:dyDescent="0.3">
      <c r="A1" s="498"/>
      <c r="B1" s="50" t="str">
        <f>CPU_Serviços!$C$1</f>
        <v>Prefeitura Municipal de Colatina</v>
      </c>
      <c r="C1" s="50"/>
      <c r="D1" s="50"/>
      <c r="E1" s="50"/>
      <c r="F1" s="50"/>
      <c r="G1" s="50"/>
      <c r="H1" s="50"/>
    </row>
    <row r="2" spans="1:12" x14ac:dyDescent="0.3">
      <c r="A2" s="498"/>
      <c r="B2" s="306" t="str">
        <f>CPU_Serviços!$C$2</f>
        <v>Secretaria Municipal de Habitação e Regularização Fundiária</v>
      </c>
      <c r="C2" s="306"/>
      <c r="D2" s="306"/>
      <c r="E2" s="31"/>
      <c r="F2" s="31"/>
      <c r="G2" s="31"/>
      <c r="H2" s="31"/>
    </row>
    <row r="3" spans="1:12" ht="6.6" customHeight="1" x14ac:dyDescent="0.3">
      <c r="A3" s="498"/>
    </row>
    <row r="4" spans="1:12" x14ac:dyDescent="0.3">
      <c r="A4" s="498"/>
      <c r="B4" s="32" t="s">
        <v>735</v>
      </c>
      <c r="C4" s="32"/>
      <c r="D4" s="32"/>
      <c r="E4" s="32"/>
      <c r="F4" s="32"/>
      <c r="G4" s="32"/>
      <c r="H4" s="32"/>
    </row>
    <row r="5" spans="1:12" ht="15.6" customHeight="1" x14ac:dyDescent="0.3">
      <c r="A5" s="498"/>
      <c r="B5" s="296" t="s">
        <v>754</v>
      </c>
      <c r="C5" s="296"/>
      <c r="D5" s="296"/>
      <c r="I5" s="471"/>
      <c r="J5" s="471"/>
      <c r="K5" s="471"/>
      <c r="L5" s="471"/>
    </row>
    <row r="6" spans="1:12" x14ac:dyDescent="0.3">
      <c r="A6" s="534" t="s">
        <v>244</v>
      </c>
      <c r="B6" s="534"/>
      <c r="C6" s="248" t="s">
        <v>245</v>
      </c>
      <c r="D6" s="248" t="s">
        <v>246</v>
      </c>
      <c r="E6" s="50"/>
      <c r="F6" s="50"/>
      <c r="G6" s="50"/>
      <c r="H6" s="51"/>
      <c r="I6" s="471"/>
      <c r="J6" s="471"/>
      <c r="K6" s="471"/>
      <c r="L6" s="471"/>
    </row>
    <row r="7" spans="1:12" ht="28.2" customHeight="1" x14ac:dyDescent="0.3">
      <c r="A7" s="565" t="s">
        <v>755</v>
      </c>
      <c r="B7" s="566"/>
      <c r="C7" s="75">
        <v>1</v>
      </c>
      <c r="D7" s="75" t="s">
        <v>752</v>
      </c>
      <c r="E7" s="50"/>
      <c r="F7" s="50"/>
      <c r="G7" s="50"/>
      <c r="H7" s="51"/>
      <c r="I7" s="33"/>
      <c r="J7" s="33"/>
      <c r="K7" s="33"/>
      <c r="L7" s="33"/>
    </row>
    <row r="8" spans="1:12" ht="27.6" customHeight="1" x14ac:dyDescent="0.3">
      <c r="A8" s="564" t="s">
        <v>756</v>
      </c>
      <c r="B8" s="564"/>
      <c r="C8" s="564"/>
      <c r="D8" s="564"/>
      <c r="E8" s="50"/>
      <c r="F8" s="50"/>
      <c r="G8" s="50"/>
      <c r="H8" s="51"/>
      <c r="I8" s="33"/>
      <c r="J8" s="33"/>
      <c r="K8" s="33"/>
      <c r="L8" s="33"/>
    </row>
    <row r="9" spans="1:12" x14ac:dyDescent="0.3">
      <c r="A9" s="250" t="s">
        <v>757</v>
      </c>
      <c r="B9" s="251"/>
      <c r="C9" s="252"/>
      <c r="D9" s="253"/>
      <c r="E9" s="33"/>
      <c r="F9" s="33"/>
      <c r="G9" s="33"/>
      <c r="H9" s="51"/>
      <c r="I9" s="45"/>
      <c r="J9" s="33"/>
      <c r="K9" s="45"/>
      <c r="L9" s="33"/>
    </row>
    <row r="10" spans="1:12" ht="35.4" customHeight="1" x14ac:dyDescent="0.3">
      <c r="A10" s="556" t="s">
        <v>759</v>
      </c>
      <c r="B10" s="557"/>
      <c r="C10" s="72">
        <v>24</v>
      </c>
      <c r="D10" s="71" t="s">
        <v>28</v>
      </c>
      <c r="E10" s="68"/>
      <c r="F10" s="68"/>
      <c r="G10" s="68"/>
      <c r="H10" s="69"/>
      <c r="I10" s="31"/>
      <c r="J10" s="34"/>
      <c r="K10" s="31"/>
      <c r="L10" s="34"/>
    </row>
    <row r="11" spans="1:12" x14ac:dyDescent="0.3">
      <c r="A11" s="307" t="s">
        <v>758</v>
      </c>
      <c r="B11" s="302"/>
      <c r="C11" s="72"/>
      <c r="D11" s="71"/>
      <c r="E11" s="68"/>
      <c r="F11" s="68"/>
      <c r="G11" s="68"/>
      <c r="H11" s="69"/>
      <c r="I11" s="31"/>
      <c r="J11" s="34"/>
      <c r="K11" s="31"/>
      <c r="L11" s="34"/>
    </row>
  </sheetData>
  <mergeCells count="8">
    <mergeCell ref="A8:D8"/>
    <mergeCell ref="A10:B10"/>
    <mergeCell ref="A1:A5"/>
    <mergeCell ref="I5:L5"/>
    <mergeCell ref="A6:B6"/>
    <mergeCell ref="I6:J6"/>
    <mergeCell ref="K6:L6"/>
    <mergeCell ref="A7:B7"/>
  </mergeCells>
  <pageMargins left="0.511811024" right="0.511811024" top="0.78740157499999996" bottom="1.0672916666666667" header="0.31496062000000002" footer="0.31496062000000002"/>
  <pageSetup paperSize="9" scale="94" fitToHeight="0" orientation="portrait" r:id="rId1"/>
  <headerFooter>
    <oddFooter>&amp;RPrefeitura Municipal de Colatina
Travessa Avelino Guerra, 111, Sagrado Coração de Jesus
Telefone: (27) 3177-7000 | https://colatina.es.gov.br/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L11"/>
  <sheetViews>
    <sheetView view="pageBreakPreview" zoomScaleNormal="100" zoomScaleSheetLayoutView="100" workbookViewId="0">
      <selection activeCell="B2" sqref="B2"/>
    </sheetView>
  </sheetViews>
  <sheetFormatPr defaultColWidth="8.88671875" defaultRowHeight="15.6" x14ac:dyDescent="0.3"/>
  <cols>
    <col min="1" max="1" width="11.88671875" style="30" customWidth="1"/>
    <col min="2" max="2" width="70.44140625" style="30" customWidth="1"/>
    <col min="3" max="3" width="8.6640625" style="30" customWidth="1"/>
    <col min="4" max="4" width="7.6640625" style="30" customWidth="1"/>
    <col min="5" max="5" width="13.33203125" style="30" bestFit="1" customWidth="1"/>
    <col min="6" max="6" width="11.109375" style="30" bestFit="1" customWidth="1"/>
    <col min="7" max="8" width="13.33203125" style="30" bestFit="1" customWidth="1"/>
    <col min="9" max="9" width="8.88671875" style="30"/>
    <col min="10" max="10" width="13.33203125" style="30" bestFit="1" customWidth="1"/>
    <col min="11" max="11" width="8.88671875" style="30"/>
    <col min="12" max="12" width="13.33203125" style="30" bestFit="1" customWidth="1"/>
    <col min="13" max="16384" width="8.88671875" style="30"/>
  </cols>
  <sheetData>
    <row r="1" spans="1:12" x14ac:dyDescent="0.3">
      <c r="A1" s="498"/>
      <c r="B1" s="50" t="str">
        <f>CPU_Serviços!$C$1</f>
        <v>Prefeitura Municipal de Colatina</v>
      </c>
      <c r="C1" s="50"/>
      <c r="D1" s="50"/>
      <c r="E1" s="50"/>
      <c r="F1" s="50"/>
      <c r="G1" s="50"/>
      <c r="H1" s="50"/>
    </row>
    <row r="2" spans="1:12" x14ac:dyDescent="0.3">
      <c r="A2" s="498"/>
      <c r="B2" s="306" t="str">
        <f>CPU_Serviços!$C$2</f>
        <v>Secretaria Municipal de Habitação e Regularização Fundiária</v>
      </c>
      <c r="C2" s="306"/>
      <c r="D2" s="306"/>
      <c r="E2" s="31"/>
      <c r="F2" s="31"/>
      <c r="G2" s="31"/>
      <c r="H2" s="31"/>
    </row>
    <row r="3" spans="1:12" ht="6.6" customHeight="1" x14ac:dyDescent="0.3">
      <c r="A3" s="498"/>
    </row>
    <row r="4" spans="1:12" x14ac:dyDescent="0.3">
      <c r="A4" s="498"/>
      <c r="B4" s="32" t="s">
        <v>735</v>
      </c>
      <c r="C4" s="32"/>
      <c r="D4" s="32"/>
      <c r="E4" s="32"/>
      <c r="F4" s="32"/>
      <c r="G4" s="32"/>
      <c r="H4" s="32"/>
    </row>
    <row r="5" spans="1:12" x14ac:dyDescent="0.3">
      <c r="A5" s="498"/>
      <c r="B5" s="44" t="s">
        <v>302</v>
      </c>
      <c r="C5" s="44"/>
      <c r="D5" s="44"/>
      <c r="I5" s="471"/>
      <c r="J5" s="471"/>
      <c r="K5" s="471"/>
      <c r="L5" s="471"/>
    </row>
    <row r="6" spans="1:12" x14ac:dyDescent="0.3">
      <c r="A6" s="534" t="s">
        <v>244</v>
      </c>
      <c r="B6" s="534"/>
      <c r="C6" s="248" t="s">
        <v>245</v>
      </c>
      <c r="D6" s="248" t="s">
        <v>246</v>
      </c>
      <c r="E6" s="50"/>
      <c r="F6" s="50"/>
      <c r="G6" s="50"/>
      <c r="H6" s="51"/>
      <c r="I6" s="471"/>
      <c r="J6" s="471"/>
      <c r="K6" s="471"/>
      <c r="L6" s="471"/>
    </row>
    <row r="7" spans="1:12" ht="71.400000000000006" customHeight="1" x14ac:dyDescent="0.3">
      <c r="A7" s="565" t="s">
        <v>455</v>
      </c>
      <c r="B7" s="566"/>
      <c r="C7" s="75">
        <v>1</v>
      </c>
      <c r="D7" s="75" t="s">
        <v>5</v>
      </c>
      <c r="E7" s="50"/>
      <c r="F7" s="50"/>
      <c r="G7" s="50"/>
      <c r="H7" s="51"/>
      <c r="I7" s="33"/>
      <c r="J7" s="33"/>
      <c r="K7" s="33"/>
      <c r="L7" s="33"/>
    </row>
    <row r="8" spans="1:12" x14ac:dyDescent="0.3">
      <c r="A8" s="258" t="s">
        <v>281</v>
      </c>
      <c r="B8" s="251"/>
      <c r="C8" s="252"/>
      <c r="D8" s="253"/>
      <c r="E8" s="33"/>
      <c r="F8" s="33"/>
      <c r="G8" s="33"/>
      <c r="H8" s="51"/>
      <c r="I8" s="45"/>
      <c r="J8" s="33"/>
      <c r="K8" s="45"/>
      <c r="L8" s="33"/>
    </row>
    <row r="9" spans="1:12" ht="31.95" customHeight="1" x14ac:dyDescent="0.3">
      <c r="A9" s="556" t="s">
        <v>304</v>
      </c>
      <c r="B9" s="557"/>
      <c r="C9" s="72">
        <v>1</v>
      </c>
      <c r="D9" s="71" t="s">
        <v>66</v>
      </c>
      <c r="E9" s="68"/>
      <c r="F9" s="68"/>
      <c r="G9" s="68"/>
      <c r="H9" s="69"/>
      <c r="I9" s="31"/>
      <c r="J9" s="34"/>
      <c r="K9" s="31"/>
      <c r="L9" s="34"/>
    </row>
    <row r="10" spans="1:12" x14ac:dyDescent="0.3">
      <c r="A10" s="254" t="s">
        <v>303</v>
      </c>
      <c r="B10" s="255"/>
      <c r="C10" s="256"/>
      <c r="D10" s="257"/>
      <c r="E10" s="68"/>
      <c r="F10" s="68"/>
      <c r="G10" s="68"/>
      <c r="H10" s="69"/>
      <c r="I10" s="31"/>
      <c r="J10" s="34"/>
      <c r="K10" s="31"/>
      <c r="L10" s="34"/>
    </row>
    <row r="11" spans="1:12" x14ac:dyDescent="0.3">
      <c r="A11" s="436" t="s">
        <v>305</v>
      </c>
      <c r="B11" s="436"/>
      <c r="C11" s="75">
        <v>0.5</v>
      </c>
      <c r="D11" s="74" t="s">
        <v>66</v>
      </c>
      <c r="E11" s="68"/>
      <c r="F11" s="68"/>
      <c r="G11" s="68"/>
      <c r="H11" s="69"/>
      <c r="I11" s="31"/>
      <c r="J11" s="34"/>
      <c r="K11" s="31"/>
      <c r="L11" s="34"/>
    </row>
  </sheetData>
  <mergeCells count="8">
    <mergeCell ref="A9:B9"/>
    <mergeCell ref="A11:B11"/>
    <mergeCell ref="A1:A5"/>
    <mergeCell ref="I5:L5"/>
    <mergeCell ref="A6:B6"/>
    <mergeCell ref="I6:J6"/>
    <mergeCell ref="K6:L6"/>
    <mergeCell ref="A7:B7"/>
  </mergeCells>
  <pageMargins left="0.511811024" right="0.511811024" top="0.78740157499999996" bottom="1.0687500000000001" header="0.31496062000000002" footer="0.31496062000000002"/>
  <pageSetup paperSize="9" scale="95" fitToHeight="0" orientation="portrait" r:id="rId1"/>
  <headerFooter>
    <oddFooter>&amp;RPrefeitura Municipal de Colatina
Travessa Avelino Guerra, 111, Sagrado Coração de Jesus
Telefone: (27) 3177-7000 | https://colatina.es.gov.br/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1:L11"/>
  <sheetViews>
    <sheetView view="pageBreakPreview" zoomScaleNormal="100" zoomScaleSheetLayoutView="100" workbookViewId="0">
      <selection activeCell="B2" sqref="B2"/>
    </sheetView>
  </sheetViews>
  <sheetFormatPr defaultColWidth="8.88671875" defaultRowHeight="15.6" x14ac:dyDescent="0.3"/>
  <cols>
    <col min="1" max="1" width="11.6640625" style="30" customWidth="1"/>
    <col min="2" max="2" width="69.33203125" style="30" customWidth="1"/>
    <col min="3" max="3" width="9.33203125" style="30" customWidth="1"/>
    <col min="4" max="4" width="7.33203125" style="30" customWidth="1"/>
    <col min="5" max="5" width="13.33203125" style="30" bestFit="1" customWidth="1"/>
    <col min="6" max="6" width="11.109375" style="30" bestFit="1" customWidth="1"/>
    <col min="7" max="8" width="13.33203125" style="30" bestFit="1" customWidth="1"/>
    <col min="9" max="9" width="8.88671875" style="30"/>
    <col min="10" max="10" width="13.33203125" style="30" bestFit="1" customWidth="1"/>
    <col min="11" max="11" width="8.88671875" style="30"/>
    <col min="12" max="12" width="13.33203125" style="30" bestFit="1" customWidth="1"/>
    <col min="13" max="16384" width="8.88671875" style="30"/>
  </cols>
  <sheetData>
    <row r="1" spans="1:12" x14ac:dyDescent="0.3">
      <c r="A1" s="498"/>
      <c r="B1" s="50" t="str">
        <f>CPU_Serviços!$C$1</f>
        <v>Prefeitura Municipal de Colatina</v>
      </c>
      <c r="C1" s="50"/>
      <c r="D1" s="50"/>
      <c r="E1" s="50"/>
      <c r="F1" s="50"/>
      <c r="G1" s="50"/>
      <c r="H1" s="50"/>
    </row>
    <row r="2" spans="1:12" x14ac:dyDescent="0.3">
      <c r="A2" s="498"/>
      <c r="B2" s="306" t="str">
        <f>CPU_Serviços!$C$2</f>
        <v>Secretaria Municipal de Habitação e Regularização Fundiária</v>
      </c>
      <c r="C2" s="306"/>
      <c r="D2" s="306"/>
      <c r="E2" s="31"/>
      <c r="F2" s="31"/>
      <c r="G2" s="31"/>
      <c r="H2" s="31"/>
    </row>
    <row r="3" spans="1:12" ht="6.6" customHeight="1" x14ac:dyDescent="0.3">
      <c r="A3" s="498"/>
    </row>
    <row r="4" spans="1:12" x14ac:dyDescent="0.3">
      <c r="A4" s="498"/>
      <c r="B4" s="32" t="s">
        <v>735</v>
      </c>
      <c r="C4" s="32"/>
      <c r="D4" s="32"/>
      <c r="E4" s="32"/>
      <c r="F4" s="32"/>
      <c r="G4" s="32"/>
      <c r="H4" s="32"/>
    </row>
    <row r="5" spans="1:12" x14ac:dyDescent="0.3">
      <c r="A5" s="498"/>
      <c r="B5" s="44" t="s">
        <v>306</v>
      </c>
      <c r="C5" s="44"/>
      <c r="D5" s="44"/>
      <c r="I5" s="471"/>
      <c r="J5" s="471"/>
      <c r="K5" s="471"/>
      <c r="L5" s="471"/>
    </row>
    <row r="6" spans="1:12" x14ac:dyDescent="0.3">
      <c r="A6" s="534" t="s">
        <v>244</v>
      </c>
      <c r="B6" s="534"/>
      <c r="C6" s="248" t="s">
        <v>245</v>
      </c>
      <c r="D6" s="248" t="s">
        <v>246</v>
      </c>
      <c r="E6" s="50"/>
      <c r="F6" s="50"/>
      <c r="G6" s="50"/>
      <c r="H6" s="51"/>
      <c r="I6" s="471"/>
      <c r="J6" s="471"/>
      <c r="K6" s="471"/>
      <c r="L6" s="471"/>
    </row>
    <row r="7" spans="1:12" ht="45" customHeight="1" x14ac:dyDescent="0.3">
      <c r="A7" s="565" t="s">
        <v>307</v>
      </c>
      <c r="B7" s="566"/>
      <c r="C7" s="75">
        <v>1</v>
      </c>
      <c r="D7" s="75" t="s">
        <v>5</v>
      </c>
      <c r="E7" s="50"/>
      <c r="F7" s="50"/>
      <c r="G7" s="50"/>
      <c r="H7" s="51"/>
      <c r="I7" s="33"/>
      <c r="J7" s="33"/>
      <c r="K7" s="33"/>
      <c r="L7" s="33"/>
    </row>
    <row r="8" spans="1:12" x14ac:dyDescent="0.3">
      <c r="A8" s="250" t="s">
        <v>255</v>
      </c>
      <c r="B8" s="251"/>
      <c r="C8" s="252"/>
      <c r="D8" s="253"/>
      <c r="E8" s="33"/>
      <c r="F8" s="33"/>
      <c r="G8" s="33"/>
      <c r="H8" s="51"/>
      <c r="I8" s="45"/>
      <c r="J8" s="33"/>
      <c r="K8" s="45"/>
      <c r="L8" s="33"/>
    </row>
    <row r="9" spans="1:12" ht="81" customHeight="1" x14ac:dyDescent="0.3">
      <c r="A9" s="556" t="s">
        <v>308</v>
      </c>
      <c r="B9" s="557"/>
      <c r="C9" s="72">
        <v>1.5</v>
      </c>
      <c r="D9" s="71" t="s">
        <v>66</v>
      </c>
      <c r="E9" s="68"/>
      <c r="F9" s="68"/>
      <c r="G9" s="68"/>
      <c r="H9" s="69"/>
      <c r="I9" s="31"/>
      <c r="J9" s="34"/>
      <c r="K9" s="31"/>
      <c r="L9" s="34"/>
    </row>
    <row r="10" spans="1:12" x14ac:dyDescent="0.3">
      <c r="A10" s="254" t="s">
        <v>60</v>
      </c>
      <c r="B10" s="255"/>
      <c r="C10" s="256"/>
      <c r="D10" s="257"/>
      <c r="E10" s="68"/>
      <c r="F10" s="68"/>
      <c r="G10" s="68"/>
      <c r="H10" s="69"/>
      <c r="I10" s="31"/>
      <c r="J10" s="34"/>
      <c r="K10" s="31"/>
      <c r="L10" s="34"/>
    </row>
    <row r="11" spans="1:12" x14ac:dyDescent="0.3">
      <c r="A11" s="436" t="s">
        <v>309</v>
      </c>
      <c r="B11" s="436"/>
      <c r="C11" s="75">
        <v>1.5</v>
      </c>
      <c r="D11" s="74" t="s">
        <v>66</v>
      </c>
      <c r="E11" s="68"/>
      <c r="F11" s="68"/>
      <c r="G11" s="68"/>
      <c r="H11" s="69"/>
      <c r="I11" s="31"/>
      <c r="J11" s="34"/>
      <c r="K11" s="31"/>
      <c r="L11" s="34"/>
    </row>
  </sheetData>
  <mergeCells count="8">
    <mergeCell ref="A9:B9"/>
    <mergeCell ref="A11:B11"/>
    <mergeCell ref="A1:A5"/>
    <mergeCell ref="I5:L5"/>
    <mergeCell ref="A6:B6"/>
    <mergeCell ref="I6:J6"/>
    <mergeCell ref="K6:L6"/>
    <mergeCell ref="A7:B7"/>
  </mergeCells>
  <pageMargins left="0.511811024" right="0.511811024" top="0.78740157499999996" bottom="1.07" header="0.31496062000000002" footer="0.31496062000000002"/>
  <pageSetup paperSize="9" scale="96" fitToHeight="0" orientation="portrait" r:id="rId1"/>
  <headerFooter>
    <oddFooter>&amp;RPrefeitura Municipal de Colatina
Travessa Avelino Guerra, 111, Sagrado Coração de Jesus
Telefone: (27) 3177-7000 | https://colatina.es.gov.br/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  <pageSetUpPr fitToPage="1"/>
  </sheetPr>
  <dimension ref="A1:M13"/>
  <sheetViews>
    <sheetView view="pageBreakPreview" zoomScaleNormal="100" zoomScaleSheetLayoutView="100" workbookViewId="0">
      <selection activeCell="B4" sqref="B4"/>
    </sheetView>
  </sheetViews>
  <sheetFormatPr defaultColWidth="8.88671875" defaultRowHeight="15.6" x14ac:dyDescent="0.3"/>
  <cols>
    <col min="1" max="1" width="11.44140625" style="30" customWidth="1"/>
    <col min="2" max="2" width="66.88671875" style="30" customWidth="1"/>
    <col min="3" max="3" width="10.109375" style="30" bestFit="1" customWidth="1"/>
    <col min="4" max="4" width="4.88671875" style="30" bestFit="1" customWidth="1"/>
    <col min="5" max="5" width="8" style="30" bestFit="1" customWidth="1"/>
    <col min="6" max="6" width="13.33203125" style="30" bestFit="1" customWidth="1"/>
    <col min="7" max="7" width="11.109375" style="30" bestFit="1" customWidth="1"/>
    <col min="8" max="9" width="13.33203125" style="30" bestFit="1" customWidth="1"/>
    <col min="10" max="10" width="8.88671875" style="30"/>
    <col min="11" max="11" width="13.33203125" style="30" bestFit="1" customWidth="1"/>
    <col min="12" max="12" width="8.88671875" style="30"/>
    <col min="13" max="13" width="13.33203125" style="30" bestFit="1" customWidth="1"/>
    <col min="14" max="16384" width="8.88671875" style="30"/>
  </cols>
  <sheetData>
    <row r="1" spans="1:13" x14ac:dyDescent="0.3">
      <c r="A1" s="498"/>
      <c r="B1" s="50" t="str">
        <f>CPU_Serviços!$C$1</f>
        <v>Prefeitura Municipal de Colatina</v>
      </c>
      <c r="C1" s="50"/>
      <c r="D1" s="50"/>
      <c r="E1" s="50"/>
      <c r="F1" s="50"/>
      <c r="G1" s="50"/>
      <c r="H1" s="50"/>
      <c r="I1" s="50"/>
    </row>
    <row r="2" spans="1:13" x14ac:dyDescent="0.3">
      <c r="A2" s="498"/>
      <c r="B2" s="306" t="str">
        <f>CPU_Serviços!$C$2</f>
        <v>Secretaria Municipal de Habitação e Regularização Fundiária</v>
      </c>
      <c r="C2" s="306"/>
      <c r="D2" s="306"/>
      <c r="E2" s="31"/>
      <c r="F2" s="31"/>
      <c r="G2" s="31"/>
      <c r="H2" s="31"/>
      <c r="I2" s="31"/>
    </row>
    <row r="3" spans="1:13" ht="6.6" customHeight="1" x14ac:dyDescent="0.3">
      <c r="A3" s="498"/>
    </row>
    <row r="4" spans="1:13" x14ac:dyDescent="0.3">
      <c r="A4" s="498"/>
      <c r="B4" s="32" t="s">
        <v>735</v>
      </c>
      <c r="C4" s="32"/>
      <c r="D4" s="32"/>
      <c r="E4" s="32"/>
      <c r="F4" s="32"/>
      <c r="G4" s="32"/>
      <c r="H4" s="32"/>
      <c r="I4" s="32"/>
    </row>
    <row r="5" spans="1:13" x14ac:dyDescent="0.3">
      <c r="A5" s="498"/>
      <c r="B5" s="44" t="s">
        <v>310</v>
      </c>
      <c r="C5" s="44"/>
      <c r="D5" s="44"/>
      <c r="E5" s="44"/>
      <c r="J5" s="471"/>
      <c r="K5" s="471"/>
      <c r="L5" s="471"/>
      <c r="M5" s="471"/>
    </row>
    <row r="6" spans="1:13" x14ac:dyDescent="0.3">
      <c r="A6" s="534" t="s">
        <v>244</v>
      </c>
      <c r="B6" s="534"/>
      <c r="C6" s="248" t="s">
        <v>245</v>
      </c>
      <c r="D6" s="248" t="s">
        <v>246</v>
      </c>
      <c r="E6" s="248" t="s">
        <v>280</v>
      </c>
      <c r="F6" s="50"/>
      <c r="G6" s="50"/>
      <c r="H6" s="50"/>
      <c r="I6" s="51"/>
      <c r="J6" s="471"/>
      <c r="K6" s="471"/>
      <c r="L6" s="471"/>
      <c r="M6" s="471"/>
    </row>
    <row r="7" spans="1:13" ht="28.95" customHeight="1" x14ac:dyDescent="0.3">
      <c r="A7" s="565" t="s">
        <v>311</v>
      </c>
      <c r="B7" s="566"/>
      <c r="C7" s="75">
        <v>100000</v>
      </c>
      <c r="D7" s="75" t="s">
        <v>6</v>
      </c>
      <c r="E7" s="75" t="s">
        <v>312</v>
      </c>
      <c r="F7" s="50"/>
      <c r="G7" s="50"/>
      <c r="H7" s="50"/>
      <c r="I7" s="51"/>
      <c r="J7" s="33"/>
      <c r="K7" s="33"/>
      <c r="L7" s="33"/>
      <c r="M7" s="33"/>
    </row>
    <row r="8" spans="1:13" x14ac:dyDescent="0.3">
      <c r="A8" s="258" t="s">
        <v>313</v>
      </c>
      <c r="B8" s="251"/>
      <c r="C8" s="252"/>
      <c r="D8" s="252"/>
      <c r="E8" s="253"/>
      <c r="F8" s="33"/>
      <c r="G8" s="33"/>
      <c r="H8" s="33"/>
      <c r="I8" s="51"/>
      <c r="J8" s="45"/>
      <c r="K8" s="33"/>
      <c r="L8" s="45"/>
      <c r="M8" s="33"/>
    </row>
    <row r="9" spans="1:13" x14ac:dyDescent="0.3">
      <c r="A9" s="556" t="s">
        <v>315</v>
      </c>
      <c r="B9" s="557"/>
      <c r="C9" s="72">
        <f>1*176</f>
        <v>176</v>
      </c>
      <c r="D9" s="72" t="s">
        <v>66</v>
      </c>
      <c r="E9" s="71">
        <f>C9/C7</f>
        <v>1.7600000000000001E-3</v>
      </c>
      <c r="F9" s="68"/>
      <c r="G9" s="68"/>
      <c r="H9" s="68"/>
      <c r="I9" s="69"/>
      <c r="J9" s="31"/>
      <c r="K9" s="34"/>
      <c r="L9" s="31"/>
      <c r="M9" s="34"/>
    </row>
    <row r="10" spans="1:13" x14ac:dyDescent="0.3">
      <c r="A10" s="254" t="s">
        <v>303</v>
      </c>
      <c r="B10" s="255"/>
      <c r="C10" s="256"/>
      <c r="D10" s="256"/>
      <c r="E10" s="257"/>
      <c r="F10" s="68"/>
      <c r="G10" s="68"/>
      <c r="H10" s="68"/>
      <c r="I10" s="69"/>
      <c r="J10" s="31"/>
      <c r="K10" s="34"/>
      <c r="L10" s="31"/>
      <c r="M10" s="34"/>
    </row>
    <row r="11" spans="1:13" x14ac:dyDescent="0.3">
      <c r="A11" s="436" t="s">
        <v>316</v>
      </c>
      <c r="B11" s="436"/>
      <c r="C11" s="75">
        <f>1*176*0.5</f>
        <v>88</v>
      </c>
      <c r="D11" s="75" t="s">
        <v>66</v>
      </c>
      <c r="E11" s="74">
        <f>C11/C7</f>
        <v>8.8000000000000003E-4</v>
      </c>
      <c r="F11" s="68"/>
      <c r="G11" s="68"/>
      <c r="H11" s="68"/>
      <c r="I11" s="69"/>
      <c r="J11" s="31"/>
      <c r="K11" s="34"/>
      <c r="L11" s="31"/>
      <c r="M11" s="34"/>
    </row>
    <row r="12" spans="1:13" x14ac:dyDescent="0.3">
      <c r="A12" s="254" t="s">
        <v>314</v>
      </c>
      <c r="B12" s="255"/>
      <c r="C12" s="256"/>
      <c r="D12" s="256"/>
      <c r="E12" s="257"/>
      <c r="F12" s="68"/>
      <c r="G12" s="68"/>
      <c r="H12" s="68"/>
      <c r="I12" s="69"/>
      <c r="J12" s="31"/>
      <c r="K12" s="34"/>
      <c r="L12" s="31"/>
      <c r="M12" s="34"/>
    </row>
    <row r="13" spans="1:13" ht="49.95" customHeight="1" x14ac:dyDescent="0.3">
      <c r="A13" s="436" t="s">
        <v>317</v>
      </c>
      <c r="B13" s="436"/>
      <c r="C13" s="75">
        <f>5*4</f>
        <v>20</v>
      </c>
      <c r="D13" s="75" t="s">
        <v>5</v>
      </c>
      <c r="E13" s="74">
        <f>C13/C7</f>
        <v>2.0000000000000001E-4</v>
      </c>
      <c r="F13" s="68"/>
      <c r="G13" s="68"/>
      <c r="H13" s="68"/>
      <c r="I13" s="69"/>
      <c r="J13" s="31"/>
      <c r="K13" s="34"/>
      <c r="L13" s="31"/>
      <c r="M13" s="34"/>
    </row>
  </sheetData>
  <mergeCells count="9">
    <mergeCell ref="A9:B9"/>
    <mergeCell ref="A13:B13"/>
    <mergeCell ref="A11:B11"/>
    <mergeCell ref="A1:A5"/>
    <mergeCell ref="J5:M5"/>
    <mergeCell ref="A6:B6"/>
    <mergeCell ref="J6:K6"/>
    <mergeCell ref="L6:M6"/>
    <mergeCell ref="A7:B7"/>
  </mergeCells>
  <pageMargins left="0.511811024" right="0.511811024" top="0.78740157499999996" bottom="1.0462499999999999" header="0.31496062000000002" footer="0.31496062000000002"/>
  <pageSetup paperSize="9" scale="93" fitToHeight="0" orientation="portrait" r:id="rId1"/>
  <headerFooter>
    <oddFooter>&amp;RPrefeitura Municipal de Colatina
Travessa Avelino Guerra, 111, Sagrado Coração de Jesus
Telefone: (27) 3177-7000 | https://colatina.es.gov.br/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A1:M13"/>
  <sheetViews>
    <sheetView view="pageBreakPreview" zoomScaleNormal="100" zoomScaleSheetLayoutView="100" workbookViewId="0">
      <selection activeCell="A6" sqref="A6:B6"/>
    </sheetView>
  </sheetViews>
  <sheetFormatPr defaultColWidth="8.88671875" defaultRowHeight="15.6" x14ac:dyDescent="0.3"/>
  <cols>
    <col min="1" max="1" width="12.44140625" style="30" customWidth="1"/>
    <col min="2" max="2" width="68.88671875" style="30" customWidth="1"/>
    <col min="3" max="3" width="8.109375" style="30" bestFit="1" customWidth="1"/>
    <col min="4" max="4" width="4.88671875" style="30" bestFit="1" customWidth="1"/>
    <col min="5" max="5" width="5.5546875" style="30" bestFit="1" customWidth="1"/>
    <col min="6" max="6" width="13.33203125" style="30" bestFit="1" customWidth="1"/>
    <col min="7" max="7" width="11.109375" style="30" bestFit="1" customWidth="1"/>
    <col min="8" max="9" width="13.33203125" style="30" bestFit="1" customWidth="1"/>
    <col min="10" max="10" width="8.88671875" style="30"/>
    <col min="11" max="11" width="13.33203125" style="30" bestFit="1" customWidth="1"/>
    <col min="12" max="12" width="8.88671875" style="30"/>
    <col min="13" max="13" width="13.33203125" style="30" bestFit="1" customWidth="1"/>
    <col min="14" max="16384" width="8.88671875" style="30"/>
  </cols>
  <sheetData>
    <row r="1" spans="1:13" x14ac:dyDescent="0.3">
      <c r="A1" s="498"/>
      <c r="B1" s="50" t="str">
        <f>CPU_Serviços!$C$1</f>
        <v>Prefeitura Municipal de Colatina</v>
      </c>
      <c r="C1" s="50"/>
      <c r="D1" s="50"/>
      <c r="E1" s="50"/>
      <c r="F1" s="50"/>
      <c r="G1" s="50"/>
      <c r="H1" s="50"/>
      <c r="I1" s="50"/>
    </row>
    <row r="2" spans="1:13" x14ac:dyDescent="0.3">
      <c r="A2" s="498"/>
      <c r="B2" s="306" t="str">
        <f>CPU_Serviços!$C$2</f>
        <v>Secretaria Municipal de Habitação e Regularização Fundiária</v>
      </c>
      <c r="C2" s="306"/>
      <c r="D2" s="306"/>
      <c r="E2" s="31"/>
      <c r="F2" s="31"/>
      <c r="G2" s="31"/>
      <c r="H2" s="31"/>
      <c r="I2" s="31"/>
    </row>
    <row r="3" spans="1:13" ht="6.6" customHeight="1" x14ac:dyDescent="0.3">
      <c r="A3" s="498"/>
    </row>
    <row r="4" spans="1:13" x14ac:dyDescent="0.3">
      <c r="A4" s="498"/>
      <c r="B4" s="32" t="s">
        <v>735</v>
      </c>
      <c r="C4" s="32"/>
      <c r="D4" s="32"/>
      <c r="E4" s="32"/>
      <c r="F4" s="32"/>
      <c r="G4" s="32"/>
      <c r="H4" s="32"/>
      <c r="I4" s="32"/>
    </row>
    <row r="5" spans="1:13" x14ac:dyDescent="0.3">
      <c r="A5" s="498"/>
      <c r="B5" s="44" t="s">
        <v>417</v>
      </c>
      <c r="C5" s="44"/>
      <c r="D5" s="44"/>
      <c r="E5" s="44"/>
      <c r="J5" s="471"/>
      <c r="K5" s="471"/>
      <c r="L5" s="471"/>
      <c r="M5" s="471"/>
    </row>
    <row r="6" spans="1:13" x14ac:dyDescent="0.3">
      <c r="A6" s="534" t="s">
        <v>244</v>
      </c>
      <c r="B6" s="534"/>
      <c r="C6" s="248" t="s">
        <v>245</v>
      </c>
      <c r="D6" s="248" t="s">
        <v>246</v>
      </c>
      <c r="E6" s="248" t="s">
        <v>280</v>
      </c>
      <c r="F6" s="50"/>
      <c r="G6" s="50"/>
      <c r="H6" s="50"/>
      <c r="I6" s="51"/>
      <c r="J6" s="471"/>
      <c r="K6" s="471"/>
      <c r="L6" s="471"/>
      <c r="M6" s="471"/>
    </row>
    <row r="7" spans="1:13" ht="42.6" customHeight="1" x14ac:dyDescent="0.3">
      <c r="A7" s="565" t="s">
        <v>418</v>
      </c>
      <c r="B7" s="566"/>
      <c r="C7" s="75">
        <v>1000</v>
      </c>
      <c r="D7" s="75" t="s">
        <v>246</v>
      </c>
      <c r="E7" s="75"/>
      <c r="F7" s="50"/>
      <c r="G7" s="50"/>
      <c r="H7" s="50"/>
      <c r="I7" s="51"/>
      <c r="J7" s="33"/>
      <c r="K7" s="33"/>
      <c r="L7" s="33"/>
      <c r="M7" s="33"/>
    </row>
    <row r="8" spans="1:13" x14ac:dyDescent="0.3">
      <c r="A8" s="250" t="s">
        <v>415</v>
      </c>
      <c r="B8" s="251"/>
      <c r="C8" s="252"/>
      <c r="D8" s="252"/>
      <c r="E8" s="253"/>
      <c r="F8" s="33"/>
      <c r="G8" s="33"/>
      <c r="H8" s="33"/>
      <c r="I8" s="51"/>
      <c r="J8" s="45"/>
      <c r="K8" s="33"/>
      <c r="L8" s="45"/>
      <c r="M8" s="33"/>
    </row>
    <row r="9" spans="1:13" x14ac:dyDescent="0.3">
      <c r="A9" s="556" t="s">
        <v>726</v>
      </c>
      <c r="B9" s="557"/>
      <c r="C9" s="72">
        <f>176*2</f>
        <v>352</v>
      </c>
      <c r="D9" s="72" t="s">
        <v>66</v>
      </c>
      <c r="E9" s="71">
        <f>C9/C7</f>
        <v>0.35199999999999998</v>
      </c>
      <c r="F9" s="68"/>
      <c r="G9" s="68"/>
      <c r="H9" s="68"/>
      <c r="I9" s="69"/>
      <c r="J9" s="31"/>
      <c r="K9" s="34"/>
      <c r="L9" s="31"/>
      <c r="M9" s="34"/>
    </row>
    <row r="10" spans="1:13" x14ac:dyDescent="0.3">
      <c r="A10" s="254" t="s">
        <v>61</v>
      </c>
      <c r="B10" s="255"/>
      <c r="C10" s="256"/>
      <c r="D10" s="256"/>
      <c r="E10" s="257"/>
      <c r="F10" s="68"/>
      <c r="G10" s="68"/>
      <c r="H10" s="68"/>
      <c r="I10" s="69"/>
      <c r="J10" s="31"/>
      <c r="K10" s="34"/>
      <c r="L10" s="31"/>
      <c r="M10" s="34"/>
    </row>
    <row r="11" spans="1:13" ht="15.6" customHeight="1" x14ac:dyDescent="0.3">
      <c r="A11" s="556" t="s">
        <v>419</v>
      </c>
      <c r="B11" s="557"/>
      <c r="C11" s="72">
        <f>176*2</f>
        <v>352</v>
      </c>
      <c r="D11" s="75" t="s">
        <v>66</v>
      </c>
      <c r="E11" s="74">
        <f>C11/C7</f>
        <v>0.35199999999999998</v>
      </c>
      <c r="F11" s="68"/>
      <c r="G11" s="68"/>
      <c r="H11" s="68"/>
      <c r="I11" s="69"/>
      <c r="J11" s="31"/>
      <c r="K11" s="34"/>
      <c r="L11" s="31"/>
      <c r="M11" s="34"/>
    </row>
    <row r="12" spans="1:13" x14ac:dyDescent="0.3">
      <c r="A12" s="254" t="s">
        <v>74</v>
      </c>
      <c r="B12" s="255"/>
      <c r="C12" s="256"/>
      <c r="D12" s="256"/>
      <c r="E12" s="257"/>
      <c r="F12" s="68"/>
      <c r="G12" s="68"/>
      <c r="H12" s="68"/>
      <c r="I12" s="69"/>
      <c r="J12" s="31"/>
      <c r="K12" s="34"/>
      <c r="L12" s="31"/>
      <c r="M12" s="34"/>
    </row>
    <row r="13" spans="1:13" ht="15.6" customHeight="1" x14ac:dyDescent="0.3">
      <c r="A13" s="556" t="s">
        <v>419</v>
      </c>
      <c r="B13" s="557"/>
      <c r="C13" s="72">
        <f>176*2</f>
        <v>352</v>
      </c>
      <c r="D13" s="75" t="s">
        <v>66</v>
      </c>
      <c r="E13" s="74">
        <f>C13/C7</f>
        <v>0.35199999999999998</v>
      </c>
      <c r="F13" s="68"/>
      <c r="G13" s="68"/>
      <c r="H13" s="68"/>
      <c r="I13" s="69"/>
      <c r="J13" s="31"/>
      <c r="K13" s="34"/>
      <c r="L13" s="31"/>
      <c r="M13" s="34"/>
    </row>
  </sheetData>
  <mergeCells count="9">
    <mergeCell ref="A9:B9"/>
    <mergeCell ref="A11:B11"/>
    <mergeCell ref="A13:B13"/>
    <mergeCell ref="A1:A5"/>
    <mergeCell ref="J5:M5"/>
    <mergeCell ref="A6:B6"/>
    <mergeCell ref="J6:K6"/>
    <mergeCell ref="L6:M6"/>
    <mergeCell ref="A7:B7"/>
  </mergeCells>
  <pageMargins left="0.511811024" right="0.511811024" top="0.78740157499999996" bottom="1.0672916666666667" header="0.31496062000000002" footer="0.31496062000000002"/>
  <pageSetup paperSize="9" scale="94" fitToHeight="0" orientation="portrait" r:id="rId1"/>
  <headerFooter>
    <oddFooter>&amp;RPrefeitura Municipal de Colatina
Travessa Avelino Guerra, 111, Sagrado Coração de Jesus
Telefone: (27) 3177-7000 | https://colatina.es.gov.br/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  <pageSetUpPr fitToPage="1"/>
  </sheetPr>
  <dimension ref="A1:M15"/>
  <sheetViews>
    <sheetView view="pageBreakPreview" zoomScaleNormal="100" zoomScaleSheetLayoutView="100" workbookViewId="0">
      <selection activeCell="A6" sqref="A6:B6"/>
    </sheetView>
  </sheetViews>
  <sheetFormatPr defaultColWidth="8.88671875" defaultRowHeight="15.6" x14ac:dyDescent="0.3"/>
  <cols>
    <col min="1" max="1" width="12.6640625" style="30" customWidth="1"/>
    <col min="2" max="2" width="69.109375" style="30" customWidth="1"/>
    <col min="3" max="3" width="8.109375" style="30" bestFit="1" customWidth="1"/>
    <col min="4" max="4" width="4.88671875" style="30" bestFit="1" customWidth="1"/>
    <col min="5" max="5" width="5.5546875" style="30" bestFit="1" customWidth="1"/>
    <col min="6" max="6" width="13.33203125" style="30" bestFit="1" customWidth="1"/>
    <col min="7" max="7" width="11.109375" style="30" bestFit="1" customWidth="1"/>
    <col min="8" max="9" width="13.33203125" style="30" bestFit="1" customWidth="1"/>
    <col min="10" max="10" width="8.88671875" style="30"/>
    <col min="11" max="11" width="13.33203125" style="30" bestFit="1" customWidth="1"/>
    <col min="12" max="12" width="8.88671875" style="30"/>
    <col min="13" max="13" width="13.33203125" style="30" bestFit="1" customWidth="1"/>
    <col min="14" max="16384" width="8.88671875" style="30"/>
  </cols>
  <sheetData>
    <row r="1" spans="1:13" x14ac:dyDescent="0.3">
      <c r="A1" s="498"/>
      <c r="B1" s="50" t="str">
        <f>CPU_Serviços!$C$1</f>
        <v>Prefeitura Municipal de Colatina</v>
      </c>
      <c r="C1" s="50"/>
      <c r="D1" s="50"/>
      <c r="E1" s="50"/>
      <c r="F1" s="50"/>
      <c r="G1" s="50"/>
      <c r="H1" s="50"/>
      <c r="I1" s="50"/>
    </row>
    <row r="2" spans="1:13" x14ac:dyDescent="0.3">
      <c r="A2" s="498"/>
      <c r="B2" s="306" t="str">
        <f>CPU_Serviços!$C$2</f>
        <v>Secretaria Municipal de Habitação e Regularização Fundiária</v>
      </c>
      <c r="C2" s="306"/>
      <c r="D2" s="306"/>
      <c r="E2" s="31"/>
      <c r="F2" s="31"/>
      <c r="G2" s="31"/>
      <c r="H2" s="31"/>
      <c r="I2" s="31"/>
    </row>
    <row r="3" spans="1:13" ht="6.6" customHeight="1" x14ac:dyDescent="0.3">
      <c r="A3" s="498"/>
    </row>
    <row r="4" spans="1:13" x14ac:dyDescent="0.3">
      <c r="A4" s="498"/>
      <c r="B4" s="32" t="s">
        <v>735</v>
      </c>
      <c r="C4" s="32"/>
      <c r="D4" s="32"/>
      <c r="E4" s="32"/>
      <c r="F4" s="32"/>
      <c r="G4" s="32"/>
      <c r="H4" s="32"/>
      <c r="I4" s="32"/>
    </row>
    <row r="5" spans="1:13" x14ac:dyDescent="0.3">
      <c r="A5" s="498"/>
      <c r="B5" s="44" t="s">
        <v>420</v>
      </c>
      <c r="C5" s="44"/>
      <c r="D5" s="44"/>
      <c r="E5" s="44"/>
      <c r="J5" s="471"/>
      <c r="K5" s="471"/>
      <c r="L5" s="471"/>
      <c r="M5" s="471"/>
    </row>
    <row r="6" spans="1:13" x14ac:dyDescent="0.3">
      <c r="A6" s="534" t="s">
        <v>244</v>
      </c>
      <c r="B6" s="534"/>
      <c r="C6" s="248" t="s">
        <v>245</v>
      </c>
      <c r="D6" s="248" t="s">
        <v>246</v>
      </c>
      <c r="E6" s="248" t="s">
        <v>280</v>
      </c>
      <c r="F6" s="50"/>
      <c r="G6" s="50"/>
      <c r="H6" s="50"/>
      <c r="I6" s="51"/>
      <c r="J6" s="471"/>
      <c r="K6" s="471"/>
      <c r="L6" s="471"/>
      <c r="M6" s="471"/>
    </row>
    <row r="7" spans="1:13" ht="43.2" customHeight="1" x14ac:dyDescent="0.3">
      <c r="A7" s="565" t="s">
        <v>421</v>
      </c>
      <c r="B7" s="566"/>
      <c r="C7" s="75">
        <v>1000</v>
      </c>
      <c r="D7" s="75" t="s">
        <v>246</v>
      </c>
      <c r="E7" s="75"/>
      <c r="F7" s="50"/>
      <c r="G7" s="50"/>
      <c r="H7" s="50"/>
      <c r="I7" s="51"/>
      <c r="J7" s="33"/>
      <c r="K7" s="33"/>
      <c r="L7" s="33"/>
      <c r="M7" s="33"/>
    </row>
    <row r="8" spans="1:13" x14ac:dyDescent="0.3">
      <c r="A8" s="250" t="s">
        <v>65</v>
      </c>
      <c r="B8" s="251"/>
      <c r="C8" s="252"/>
      <c r="D8" s="252"/>
      <c r="E8" s="253"/>
      <c r="F8" s="33"/>
      <c r="G8" s="33"/>
      <c r="H8" s="33"/>
      <c r="I8" s="51"/>
      <c r="J8" s="45"/>
      <c r="K8" s="33"/>
      <c r="L8" s="45"/>
      <c r="M8" s="33"/>
    </row>
    <row r="9" spans="1:13" x14ac:dyDescent="0.3">
      <c r="A9" s="556" t="s">
        <v>419</v>
      </c>
      <c r="B9" s="557"/>
      <c r="C9" s="72">
        <f>176*2</f>
        <v>352</v>
      </c>
      <c r="D9" s="72" t="s">
        <v>66</v>
      </c>
      <c r="E9" s="71">
        <f>C9/C7</f>
        <v>0.35199999999999998</v>
      </c>
      <c r="F9" s="68"/>
      <c r="G9" s="68"/>
      <c r="H9" s="68"/>
      <c r="I9" s="69"/>
      <c r="J9" s="31"/>
      <c r="K9" s="34"/>
      <c r="L9" s="31"/>
      <c r="M9" s="34"/>
    </row>
    <row r="10" spans="1:13" x14ac:dyDescent="0.3">
      <c r="A10" s="254" t="s">
        <v>416</v>
      </c>
      <c r="B10" s="255"/>
      <c r="C10" s="256"/>
      <c r="D10" s="256"/>
      <c r="E10" s="257"/>
      <c r="F10" s="68"/>
      <c r="G10" s="68"/>
      <c r="H10" s="68"/>
      <c r="I10" s="69"/>
      <c r="J10" s="31"/>
      <c r="K10" s="34"/>
      <c r="L10" s="31"/>
      <c r="M10" s="34"/>
    </row>
    <row r="11" spans="1:13" ht="15.6" customHeight="1" x14ac:dyDescent="0.3">
      <c r="A11" s="556" t="s">
        <v>419</v>
      </c>
      <c r="B11" s="556"/>
      <c r="C11" s="72">
        <f>176*2</f>
        <v>352</v>
      </c>
      <c r="D11" s="75" t="s">
        <v>66</v>
      </c>
      <c r="E11" s="74">
        <f>C11/C7</f>
        <v>0.35199999999999998</v>
      </c>
      <c r="F11" s="68"/>
      <c r="G11" s="68"/>
      <c r="H11" s="68"/>
      <c r="I11" s="69"/>
      <c r="J11" s="31"/>
      <c r="K11" s="34"/>
      <c r="L11" s="31"/>
      <c r="M11" s="34"/>
    </row>
    <row r="12" spans="1:13" x14ac:dyDescent="0.3">
      <c r="A12" s="254" t="s">
        <v>74</v>
      </c>
      <c r="B12" s="255"/>
      <c r="C12" s="256"/>
      <c r="D12" s="256"/>
      <c r="E12" s="257"/>
      <c r="F12" s="68"/>
      <c r="G12" s="68"/>
      <c r="H12" s="68"/>
      <c r="I12" s="69"/>
      <c r="J12" s="31"/>
      <c r="K12" s="34"/>
      <c r="L12" s="31"/>
      <c r="M12" s="34"/>
    </row>
    <row r="13" spans="1:13" ht="15.6" customHeight="1" x14ac:dyDescent="0.3">
      <c r="A13" s="556" t="s">
        <v>419</v>
      </c>
      <c r="B13" s="556"/>
      <c r="C13" s="72">
        <f>176*2</f>
        <v>352</v>
      </c>
      <c r="D13" s="75" t="s">
        <v>66</v>
      </c>
      <c r="E13" s="74">
        <f>C13/C7</f>
        <v>0.35199999999999998</v>
      </c>
      <c r="F13" s="68"/>
      <c r="G13" s="68"/>
      <c r="H13" s="68"/>
      <c r="I13" s="69"/>
      <c r="J13" s="31"/>
      <c r="K13" s="34"/>
      <c r="L13" s="31"/>
      <c r="M13" s="34"/>
    </row>
    <row r="14" spans="1:13" x14ac:dyDescent="0.3">
      <c r="A14" s="254" t="s">
        <v>56</v>
      </c>
      <c r="B14" s="255"/>
      <c r="C14" s="256"/>
      <c r="D14" s="256"/>
      <c r="E14" s="257"/>
      <c r="F14" s="68"/>
      <c r="G14" s="68"/>
      <c r="H14" s="68"/>
      <c r="I14" s="69"/>
      <c r="J14" s="31"/>
      <c r="K14" s="34"/>
      <c r="L14" s="31"/>
      <c r="M14" s="34"/>
    </row>
    <row r="15" spans="1:13" ht="15.6" customHeight="1" x14ac:dyDescent="0.3">
      <c r="A15" s="556" t="s">
        <v>419</v>
      </c>
      <c r="B15" s="556"/>
      <c r="C15" s="72">
        <f>176*2</f>
        <v>352</v>
      </c>
      <c r="D15" s="75" t="s">
        <v>66</v>
      </c>
      <c r="E15" s="74">
        <f>C15/C7</f>
        <v>0.35199999999999998</v>
      </c>
      <c r="F15" s="68"/>
      <c r="G15" s="68"/>
      <c r="H15" s="68"/>
      <c r="I15" s="69"/>
      <c r="J15" s="31"/>
      <c r="K15" s="34"/>
      <c r="L15" s="31"/>
      <c r="M15" s="34"/>
    </row>
  </sheetData>
  <mergeCells count="10">
    <mergeCell ref="A1:A5"/>
    <mergeCell ref="J5:M5"/>
    <mergeCell ref="A6:B6"/>
    <mergeCell ref="J6:K6"/>
    <mergeCell ref="L6:M6"/>
    <mergeCell ref="A7:B7"/>
    <mergeCell ref="A9:B9"/>
    <mergeCell ref="A11:B11"/>
    <mergeCell ref="A13:B13"/>
    <mergeCell ref="A15:B15"/>
  </mergeCells>
  <pageMargins left="0.511811024" right="0.511811024" top="0.78740157499999996" bottom="1.0753124999999999" header="0.31496062000000002" footer="0.31496062000000002"/>
  <pageSetup paperSize="9" scale="93" fitToHeight="0" orientation="portrait" r:id="rId1"/>
  <headerFooter>
    <oddFooter>&amp;RPrefeitura Municipal de Colatina
Travessa Avelino Guerra, 111, Sagrado Coração de Jesus
Telefone: (27) 3177-7000 | https://colatina.es.gov.br/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25F90-B2BE-464D-9E8E-D8465DAB222E}">
  <sheetPr>
    <tabColor rgb="FF92D050"/>
  </sheetPr>
  <dimension ref="A1:H38"/>
  <sheetViews>
    <sheetView workbookViewId="0">
      <selection activeCell="F25" sqref="F25"/>
    </sheetView>
  </sheetViews>
  <sheetFormatPr defaultRowHeight="13.2" x14ac:dyDescent="0.25"/>
  <cols>
    <col min="1" max="1" width="41.88671875" bestFit="1" customWidth="1"/>
    <col min="2" max="2" width="11.6640625" style="316" bestFit="1" customWidth="1"/>
    <col min="3" max="3" width="9" style="316" bestFit="1" customWidth="1"/>
    <col min="4" max="4" width="7.88671875" customWidth="1"/>
    <col min="5" max="5" width="13.77734375" bestFit="1" customWidth="1"/>
    <col min="6" max="6" width="10.6640625" customWidth="1"/>
    <col min="7" max="7" width="10.44140625" customWidth="1"/>
    <col min="8" max="8" width="10.21875" customWidth="1"/>
  </cols>
  <sheetData>
    <row r="1" spans="1:8" x14ac:dyDescent="0.25">
      <c r="A1" s="313" t="s">
        <v>748</v>
      </c>
      <c r="B1" s="315" t="s">
        <v>780</v>
      </c>
      <c r="C1" s="315" t="s">
        <v>781</v>
      </c>
      <c r="E1" s="313" t="s">
        <v>862</v>
      </c>
      <c r="F1" s="313" t="s">
        <v>863</v>
      </c>
      <c r="G1" s="313" t="s">
        <v>864</v>
      </c>
      <c r="H1" s="313" t="s">
        <v>865</v>
      </c>
    </row>
    <row r="2" spans="1:8" x14ac:dyDescent="0.25">
      <c r="A2" s="314" t="s">
        <v>779</v>
      </c>
      <c r="B2" s="316">
        <v>203946</v>
      </c>
      <c r="C2" s="316">
        <v>724</v>
      </c>
      <c r="E2" s="342" t="str">
        <f>IF(C2&lt;200,"1 mês",IF(AND(C2&gt;=200,C2&lt;450),"2 meses",IF(AND(C2&gt;=450,C2&lt;800),"3 meses",IF(C2&gt;=800,"4 meses"))))</f>
        <v>3 meses</v>
      </c>
      <c r="F2" s="341" t="str">
        <f>IF(C2&lt;100,"1 mês",IF(AND(C2&gt;=100,C2&lt;250),"2 meses",IF(AND(C2&gt;=250,C2&lt;500),"3 meses",IF(AND(C2&gt;=500,C2&lt;800),"4 meses",IF(C2&gt;=800,"5 meses")))))</f>
        <v>4 meses</v>
      </c>
      <c r="G2" s="342" t="str">
        <f>IF(C2&lt;350,"1 mês",IF(AND(C2&gt;=350,C2&lt;800),"2 meses",IF(C2&gt;=800,"3 meses")))</f>
        <v>2 meses</v>
      </c>
      <c r="H2" s="341" t="str">
        <f>IF(C2&lt;200,"1 mês",IF(AND(C2&gt;=200,C2&lt;500),"2 meses",IF(C2&gt;=500,"3 meses")))</f>
        <v>3 meses</v>
      </c>
    </row>
    <row r="3" spans="1:8" x14ac:dyDescent="0.25">
      <c r="A3" s="314" t="s">
        <v>782</v>
      </c>
      <c r="B3" s="316">
        <v>143285</v>
      </c>
      <c r="C3" s="316">
        <v>429</v>
      </c>
      <c r="E3" s="342" t="str">
        <f t="shared" ref="E3:E37" si="0">IF(C3&lt;200,"1 mês",IF(AND(C3&gt;=200,C3&lt;450),"2 meses",IF(AND(C3&gt;=450,C3&lt;800),"3 meses",IF(C3&gt;=800,"4 meses"))))</f>
        <v>2 meses</v>
      </c>
      <c r="F3" s="341" t="str">
        <f t="shared" ref="F3:F37" si="1">IF(C3&lt;100,"1 mês",IF(AND(C3&gt;=100,C3&lt;250),"2 meses",IF(AND(C3&gt;=250,C3&lt;500),"3 meses",IF(AND(C3&gt;=500,C3&lt;800),"4 meses",IF(C3&gt;=800,"5 meses")))))</f>
        <v>3 meses</v>
      </c>
      <c r="G3" s="342" t="str">
        <f t="shared" ref="G3:G37" si="2">IF(C3&lt;350,"1 mês",IF(AND(C3&gt;=350,C3&lt;800),"2 meses",IF(C3&gt;=800,"3 meses")))</f>
        <v>2 meses</v>
      </c>
      <c r="H3" s="341" t="str">
        <f t="shared" ref="H3:H37" si="3">IF(C3&lt;200,"1 mês",IF(AND(C3&gt;=200,C3&lt;500),"2 meses",IF(C3&gt;=500,"3 meses")))</f>
        <v>2 meses</v>
      </c>
    </row>
    <row r="4" spans="1:8" x14ac:dyDescent="0.25">
      <c r="A4" s="314" t="s">
        <v>783</v>
      </c>
      <c r="B4" s="316">
        <v>210407</v>
      </c>
      <c r="C4" s="316">
        <v>841</v>
      </c>
      <c r="E4" s="342" t="str">
        <f t="shared" si="0"/>
        <v>4 meses</v>
      </c>
      <c r="F4" s="341" t="str">
        <f t="shared" si="1"/>
        <v>5 meses</v>
      </c>
      <c r="G4" s="342" t="str">
        <f t="shared" si="2"/>
        <v>3 meses</v>
      </c>
      <c r="H4" s="341" t="str">
        <f t="shared" si="3"/>
        <v>3 meses</v>
      </c>
    </row>
    <row r="5" spans="1:8" x14ac:dyDescent="0.25">
      <c r="A5" s="314" t="s">
        <v>784</v>
      </c>
      <c r="B5" s="316">
        <v>72102</v>
      </c>
      <c r="C5" s="316">
        <v>216</v>
      </c>
      <c r="E5" s="342" t="str">
        <f t="shared" si="0"/>
        <v>2 meses</v>
      </c>
      <c r="F5" s="341" t="str">
        <f t="shared" si="1"/>
        <v>2 meses</v>
      </c>
      <c r="G5" s="342" t="str">
        <f t="shared" si="2"/>
        <v>1 mês</v>
      </c>
      <c r="H5" s="341" t="str">
        <f t="shared" si="3"/>
        <v>2 meses</v>
      </c>
    </row>
    <row r="6" spans="1:8" x14ac:dyDescent="0.25">
      <c r="A6" s="314" t="s">
        <v>785</v>
      </c>
      <c r="B6" s="316">
        <v>222739</v>
      </c>
      <c r="C6" s="316">
        <v>668</v>
      </c>
      <c r="E6" s="342" t="str">
        <f t="shared" si="0"/>
        <v>3 meses</v>
      </c>
      <c r="F6" s="341" t="str">
        <f t="shared" si="1"/>
        <v>4 meses</v>
      </c>
      <c r="G6" s="342" t="str">
        <f t="shared" si="2"/>
        <v>2 meses</v>
      </c>
      <c r="H6" s="341" t="str">
        <f t="shared" si="3"/>
        <v>3 meses</v>
      </c>
    </row>
    <row r="7" spans="1:8" x14ac:dyDescent="0.25">
      <c r="A7" s="314" t="s">
        <v>786</v>
      </c>
      <c r="B7" s="316">
        <v>207266</v>
      </c>
      <c r="C7" s="316">
        <v>276</v>
      </c>
      <c r="E7" s="342" t="str">
        <f t="shared" si="0"/>
        <v>2 meses</v>
      </c>
      <c r="F7" s="341" t="str">
        <f t="shared" si="1"/>
        <v>3 meses</v>
      </c>
      <c r="G7" s="342" t="str">
        <f t="shared" si="2"/>
        <v>1 mês</v>
      </c>
      <c r="H7" s="341" t="str">
        <f t="shared" si="3"/>
        <v>2 meses</v>
      </c>
    </row>
    <row r="8" spans="1:8" x14ac:dyDescent="0.25">
      <c r="A8" s="314" t="s">
        <v>787</v>
      </c>
      <c r="B8" s="316">
        <v>2031</v>
      </c>
      <c r="C8" s="316">
        <v>5</v>
      </c>
      <c r="E8" s="342" t="str">
        <f t="shared" si="0"/>
        <v>1 mês</v>
      </c>
      <c r="F8" s="341" t="str">
        <f t="shared" si="1"/>
        <v>1 mês</v>
      </c>
      <c r="G8" s="342" t="str">
        <f t="shared" si="2"/>
        <v>1 mês</v>
      </c>
      <c r="H8" s="341" t="str">
        <f t="shared" si="3"/>
        <v>1 mês</v>
      </c>
    </row>
    <row r="9" spans="1:8" x14ac:dyDescent="0.25">
      <c r="A9" s="314" t="s">
        <v>788</v>
      </c>
      <c r="B9" s="316">
        <v>379761</v>
      </c>
      <c r="C9" s="316">
        <v>759</v>
      </c>
      <c r="E9" s="342" t="str">
        <f t="shared" si="0"/>
        <v>3 meses</v>
      </c>
      <c r="F9" s="341" t="str">
        <f t="shared" si="1"/>
        <v>4 meses</v>
      </c>
      <c r="G9" s="342" t="str">
        <f t="shared" si="2"/>
        <v>2 meses</v>
      </c>
      <c r="H9" s="341" t="str">
        <f t="shared" si="3"/>
        <v>3 meses</v>
      </c>
    </row>
    <row r="10" spans="1:8" x14ac:dyDescent="0.25">
      <c r="A10" s="314" t="s">
        <v>789</v>
      </c>
      <c r="B10" s="316">
        <v>258945</v>
      </c>
      <c r="C10" s="316">
        <v>776</v>
      </c>
      <c r="E10" s="342" t="str">
        <f t="shared" si="0"/>
        <v>3 meses</v>
      </c>
      <c r="F10" s="341" t="str">
        <f t="shared" si="1"/>
        <v>4 meses</v>
      </c>
      <c r="G10" s="342" t="str">
        <f t="shared" si="2"/>
        <v>2 meses</v>
      </c>
      <c r="H10" s="341" t="str">
        <f t="shared" si="3"/>
        <v>3 meses</v>
      </c>
    </row>
    <row r="11" spans="1:8" x14ac:dyDescent="0.25">
      <c r="A11" s="314" t="s">
        <v>790</v>
      </c>
      <c r="B11" s="316">
        <v>134714</v>
      </c>
      <c r="C11" s="316">
        <v>323</v>
      </c>
      <c r="E11" s="342" t="str">
        <f t="shared" si="0"/>
        <v>2 meses</v>
      </c>
      <c r="F11" s="341" t="str">
        <f t="shared" si="1"/>
        <v>3 meses</v>
      </c>
      <c r="G11" s="342" t="str">
        <f t="shared" si="2"/>
        <v>1 mês</v>
      </c>
      <c r="H11" s="341" t="str">
        <f t="shared" si="3"/>
        <v>2 meses</v>
      </c>
    </row>
    <row r="12" spans="1:8" x14ac:dyDescent="0.25">
      <c r="A12" s="314" t="s">
        <v>791</v>
      </c>
      <c r="B12" s="316">
        <v>244099</v>
      </c>
      <c r="C12" s="316">
        <v>732</v>
      </c>
      <c r="E12" s="342" t="str">
        <f t="shared" si="0"/>
        <v>3 meses</v>
      </c>
      <c r="F12" s="341" t="str">
        <f t="shared" si="1"/>
        <v>4 meses</v>
      </c>
      <c r="G12" s="342" t="str">
        <f t="shared" si="2"/>
        <v>2 meses</v>
      </c>
      <c r="H12" s="341" t="str">
        <f t="shared" si="3"/>
        <v>3 meses</v>
      </c>
    </row>
    <row r="13" spans="1:8" x14ac:dyDescent="0.25">
      <c r="A13" s="314" t="s">
        <v>792</v>
      </c>
      <c r="B13" s="316">
        <v>22321</v>
      </c>
      <c r="C13" s="316">
        <v>189</v>
      </c>
      <c r="E13" s="342" t="str">
        <f t="shared" si="0"/>
        <v>1 mês</v>
      </c>
      <c r="F13" s="341" t="str">
        <f t="shared" si="1"/>
        <v>2 meses</v>
      </c>
      <c r="G13" s="342" t="str">
        <f t="shared" si="2"/>
        <v>1 mês</v>
      </c>
      <c r="H13" s="341" t="str">
        <f t="shared" si="3"/>
        <v>1 mês</v>
      </c>
    </row>
    <row r="14" spans="1:8" x14ac:dyDescent="0.25">
      <c r="A14" s="314" t="s">
        <v>793</v>
      </c>
      <c r="B14" s="316">
        <v>199405</v>
      </c>
      <c r="C14" s="316">
        <v>921</v>
      </c>
      <c r="E14" s="342" t="str">
        <f t="shared" si="0"/>
        <v>4 meses</v>
      </c>
      <c r="F14" s="341" t="str">
        <f t="shared" si="1"/>
        <v>5 meses</v>
      </c>
      <c r="G14" s="342" t="str">
        <f t="shared" si="2"/>
        <v>3 meses</v>
      </c>
      <c r="H14" s="341" t="str">
        <f t="shared" si="3"/>
        <v>3 meses</v>
      </c>
    </row>
    <row r="15" spans="1:8" x14ac:dyDescent="0.25">
      <c r="A15" s="314" t="s">
        <v>794</v>
      </c>
      <c r="B15" s="316">
        <v>38482</v>
      </c>
      <c r="C15" s="316">
        <v>112</v>
      </c>
      <c r="E15" s="342" t="str">
        <f t="shared" si="0"/>
        <v>1 mês</v>
      </c>
      <c r="F15" s="341" t="str">
        <f t="shared" si="1"/>
        <v>2 meses</v>
      </c>
      <c r="G15" s="342" t="str">
        <f t="shared" si="2"/>
        <v>1 mês</v>
      </c>
      <c r="H15" s="341" t="str">
        <f t="shared" si="3"/>
        <v>1 mês</v>
      </c>
    </row>
    <row r="16" spans="1:8" x14ac:dyDescent="0.25">
      <c r="A16" s="314" t="s">
        <v>795</v>
      </c>
      <c r="B16" s="316">
        <v>25072</v>
      </c>
      <c r="C16" s="316">
        <v>60</v>
      </c>
      <c r="E16" s="342" t="str">
        <f t="shared" si="0"/>
        <v>1 mês</v>
      </c>
      <c r="F16" s="341" t="str">
        <f t="shared" si="1"/>
        <v>1 mês</v>
      </c>
      <c r="G16" s="342" t="str">
        <f t="shared" si="2"/>
        <v>1 mês</v>
      </c>
      <c r="H16" s="341" t="str">
        <f t="shared" si="3"/>
        <v>1 mês</v>
      </c>
    </row>
    <row r="17" spans="1:8" x14ac:dyDescent="0.25">
      <c r="A17" s="314" t="s">
        <v>796</v>
      </c>
      <c r="B17" s="316">
        <v>7712</v>
      </c>
      <c r="C17" s="316">
        <v>54</v>
      </c>
      <c r="E17" s="342" t="str">
        <f t="shared" si="0"/>
        <v>1 mês</v>
      </c>
      <c r="F17" s="341" t="str">
        <f t="shared" si="1"/>
        <v>1 mês</v>
      </c>
      <c r="G17" s="342" t="str">
        <f t="shared" si="2"/>
        <v>1 mês</v>
      </c>
      <c r="H17" s="341" t="str">
        <f t="shared" si="3"/>
        <v>1 mês</v>
      </c>
    </row>
    <row r="18" spans="1:8" x14ac:dyDescent="0.25">
      <c r="A18" s="314" t="s">
        <v>797</v>
      </c>
      <c r="B18" s="316">
        <v>6387</v>
      </c>
      <c r="C18" s="316">
        <v>12</v>
      </c>
      <c r="E18" s="342" t="str">
        <f t="shared" si="0"/>
        <v>1 mês</v>
      </c>
      <c r="F18" s="341" t="str">
        <f t="shared" si="1"/>
        <v>1 mês</v>
      </c>
      <c r="G18" s="342" t="str">
        <f t="shared" si="2"/>
        <v>1 mês</v>
      </c>
      <c r="H18" s="341" t="str">
        <f t="shared" si="3"/>
        <v>1 mês</v>
      </c>
    </row>
    <row r="19" spans="1:8" x14ac:dyDescent="0.25">
      <c r="A19" s="314" t="s">
        <v>798</v>
      </c>
      <c r="B19" s="316">
        <v>40531</v>
      </c>
      <c r="C19" s="376">
        <v>279</v>
      </c>
      <c r="E19" s="342" t="str">
        <f t="shared" si="0"/>
        <v>2 meses</v>
      </c>
      <c r="F19" s="341" t="str">
        <f t="shared" si="1"/>
        <v>3 meses</v>
      </c>
      <c r="G19" s="342" t="str">
        <f t="shared" si="2"/>
        <v>1 mês</v>
      </c>
      <c r="H19" s="341" t="str">
        <f t="shared" si="3"/>
        <v>2 meses</v>
      </c>
    </row>
    <row r="20" spans="1:8" x14ac:dyDescent="0.25">
      <c r="A20" s="314" t="s">
        <v>799</v>
      </c>
      <c r="B20" s="316">
        <v>69738</v>
      </c>
      <c r="C20" s="376"/>
      <c r="E20" s="342" t="str">
        <f t="shared" si="0"/>
        <v>1 mês</v>
      </c>
      <c r="F20" s="341" t="str">
        <f t="shared" si="1"/>
        <v>1 mês</v>
      </c>
      <c r="G20" s="342" t="str">
        <f t="shared" si="2"/>
        <v>1 mês</v>
      </c>
      <c r="H20" s="341" t="str">
        <f t="shared" si="3"/>
        <v>1 mês</v>
      </c>
    </row>
    <row r="21" spans="1:8" x14ac:dyDescent="0.25">
      <c r="A21" s="314" t="s">
        <v>800</v>
      </c>
      <c r="B21" s="316">
        <v>26727</v>
      </c>
      <c r="C21" s="376"/>
      <c r="E21" s="342" t="str">
        <f t="shared" si="0"/>
        <v>1 mês</v>
      </c>
      <c r="F21" s="341" t="str">
        <f t="shared" si="1"/>
        <v>1 mês</v>
      </c>
      <c r="G21" s="342" t="str">
        <f t="shared" si="2"/>
        <v>1 mês</v>
      </c>
      <c r="H21" s="341" t="str">
        <f t="shared" si="3"/>
        <v>1 mês</v>
      </c>
    </row>
    <row r="22" spans="1:8" x14ac:dyDescent="0.25">
      <c r="A22" s="314" t="s">
        <v>801</v>
      </c>
      <c r="B22" s="316">
        <v>124461</v>
      </c>
      <c r="C22" s="316">
        <v>302</v>
      </c>
      <c r="E22" s="342" t="str">
        <f t="shared" si="0"/>
        <v>2 meses</v>
      </c>
      <c r="F22" s="341" t="str">
        <f t="shared" si="1"/>
        <v>3 meses</v>
      </c>
      <c r="G22" s="342" t="str">
        <f t="shared" si="2"/>
        <v>1 mês</v>
      </c>
      <c r="H22" s="341" t="str">
        <f t="shared" si="3"/>
        <v>2 meses</v>
      </c>
    </row>
    <row r="23" spans="1:8" x14ac:dyDescent="0.25">
      <c r="A23" s="314" t="s">
        <v>802</v>
      </c>
      <c r="B23" s="316">
        <v>65758</v>
      </c>
      <c r="C23" s="316">
        <v>135</v>
      </c>
      <c r="E23" s="342" t="str">
        <f t="shared" si="0"/>
        <v>1 mês</v>
      </c>
      <c r="F23" s="341" t="str">
        <f t="shared" si="1"/>
        <v>2 meses</v>
      </c>
      <c r="G23" s="342" t="str">
        <f t="shared" si="2"/>
        <v>1 mês</v>
      </c>
      <c r="H23" s="341" t="str">
        <f t="shared" si="3"/>
        <v>1 mês</v>
      </c>
    </row>
    <row r="24" spans="1:8" x14ac:dyDescent="0.25">
      <c r="A24" s="314" t="s">
        <v>803</v>
      </c>
      <c r="B24" s="316">
        <v>163124</v>
      </c>
      <c r="C24" s="316">
        <v>254</v>
      </c>
      <c r="E24" s="342" t="str">
        <f t="shared" si="0"/>
        <v>2 meses</v>
      </c>
      <c r="F24" s="341" t="str">
        <f t="shared" si="1"/>
        <v>3 meses</v>
      </c>
      <c r="G24" s="342" t="str">
        <f t="shared" si="2"/>
        <v>1 mês</v>
      </c>
      <c r="H24" s="341" t="str">
        <f t="shared" si="3"/>
        <v>2 meses</v>
      </c>
    </row>
    <row r="25" spans="1:8" x14ac:dyDescent="0.25">
      <c r="A25" s="314" t="s">
        <v>804</v>
      </c>
      <c r="B25" s="316">
        <v>76221</v>
      </c>
      <c r="C25" s="316">
        <v>238</v>
      </c>
      <c r="E25" s="342" t="str">
        <f t="shared" si="0"/>
        <v>2 meses</v>
      </c>
      <c r="F25" s="341" t="str">
        <f t="shared" si="1"/>
        <v>2 meses</v>
      </c>
      <c r="G25" s="342" t="str">
        <f t="shared" si="2"/>
        <v>1 mês</v>
      </c>
      <c r="H25" s="341" t="str">
        <f t="shared" si="3"/>
        <v>2 meses</v>
      </c>
    </row>
    <row r="26" spans="1:8" x14ac:dyDescent="0.25">
      <c r="A26" s="314" t="s">
        <v>805</v>
      </c>
      <c r="B26" s="316">
        <v>2546</v>
      </c>
      <c r="C26" s="316">
        <v>6</v>
      </c>
      <c r="E26" s="342" t="str">
        <f t="shared" si="0"/>
        <v>1 mês</v>
      </c>
      <c r="F26" s="341" t="str">
        <f t="shared" si="1"/>
        <v>1 mês</v>
      </c>
      <c r="G26" s="342" t="str">
        <f t="shared" si="2"/>
        <v>1 mês</v>
      </c>
      <c r="H26" s="341" t="str">
        <f t="shared" si="3"/>
        <v>1 mês</v>
      </c>
    </row>
    <row r="27" spans="1:8" x14ac:dyDescent="0.25">
      <c r="A27" s="314" t="s">
        <v>806</v>
      </c>
      <c r="B27" s="316">
        <v>276147</v>
      </c>
      <c r="C27" s="316">
        <v>353</v>
      </c>
      <c r="E27" s="342" t="str">
        <f t="shared" si="0"/>
        <v>2 meses</v>
      </c>
      <c r="F27" s="341" t="str">
        <f t="shared" si="1"/>
        <v>3 meses</v>
      </c>
      <c r="G27" s="342" t="str">
        <f t="shared" si="2"/>
        <v>2 meses</v>
      </c>
      <c r="H27" s="341" t="str">
        <f t="shared" si="3"/>
        <v>2 meses</v>
      </c>
    </row>
    <row r="28" spans="1:8" x14ac:dyDescent="0.25">
      <c r="A28" s="314" t="s">
        <v>807</v>
      </c>
      <c r="B28" s="316">
        <v>122530</v>
      </c>
      <c r="C28" s="316">
        <v>245</v>
      </c>
      <c r="E28" s="342" t="str">
        <f t="shared" si="0"/>
        <v>2 meses</v>
      </c>
      <c r="F28" s="341" t="str">
        <f t="shared" si="1"/>
        <v>2 meses</v>
      </c>
      <c r="G28" s="342" t="str">
        <f t="shared" si="2"/>
        <v>1 mês</v>
      </c>
      <c r="H28" s="341" t="str">
        <f t="shared" si="3"/>
        <v>2 meses</v>
      </c>
    </row>
    <row r="29" spans="1:8" x14ac:dyDescent="0.25">
      <c r="A29" s="314" t="s">
        <v>808</v>
      </c>
      <c r="B29" s="316">
        <v>601162</v>
      </c>
      <c r="C29" s="316">
        <v>1202</v>
      </c>
      <c r="E29" s="342" t="str">
        <f t="shared" si="0"/>
        <v>4 meses</v>
      </c>
      <c r="F29" s="341" t="str">
        <f t="shared" si="1"/>
        <v>5 meses</v>
      </c>
      <c r="G29" s="342" t="str">
        <f t="shared" si="2"/>
        <v>3 meses</v>
      </c>
      <c r="H29" s="341" t="str">
        <f t="shared" si="3"/>
        <v>3 meses</v>
      </c>
    </row>
    <row r="30" spans="1:8" x14ac:dyDescent="0.25">
      <c r="A30" s="314" t="s">
        <v>809</v>
      </c>
      <c r="B30" s="316">
        <v>150757</v>
      </c>
      <c r="C30" s="316">
        <v>452</v>
      </c>
      <c r="E30" s="342" t="str">
        <f t="shared" si="0"/>
        <v>3 meses</v>
      </c>
      <c r="F30" s="341" t="str">
        <f t="shared" si="1"/>
        <v>3 meses</v>
      </c>
      <c r="G30" s="342" t="str">
        <f t="shared" si="2"/>
        <v>2 meses</v>
      </c>
      <c r="H30" s="341" t="str">
        <f t="shared" si="3"/>
        <v>2 meses</v>
      </c>
    </row>
    <row r="31" spans="1:8" x14ac:dyDescent="0.25">
      <c r="A31" s="314" t="s">
        <v>810</v>
      </c>
      <c r="B31" s="316">
        <v>51992</v>
      </c>
      <c r="C31" s="316">
        <v>132</v>
      </c>
      <c r="E31" s="342" t="str">
        <f t="shared" si="0"/>
        <v>1 mês</v>
      </c>
      <c r="F31" s="341" t="str">
        <f t="shared" si="1"/>
        <v>2 meses</v>
      </c>
      <c r="G31" s="342" t="str">
        <f t="shared" si="2"/>
        <v>1 mês</v>
      </c>
      <c r="H31" s="341" t="str">
        <f t="shared" si="3"/>
        <v>1 mês</v>
      </c>
    </row>
    <row r="32" spans="1:8" x14ac:dyDescent="0.25">
      <c r="A32" s="314" t="s">
        <v>811</v>
      </c>
      <c r="B32" s="316">
        <v>207257</v>
      </c>
      <c r="C32" s="316">
        <v>830</v>
      </c>
      <c r="E32" s="342" t="str">
        <f t="shared" si="0"/>
        <v>4 meses</v>
      </c>
      <c r="F32" s="341" t="str">
        <f t="shared" si="1"/>
        <v>5 meses</v>
      </c>
      <c r="G32" s="342" t="str">
        <f t="shared" si="2"/>
        <v>3 meses</v>
      </c>
      <c r="H32" s="341" t="str">
        <f t="shared" si="3"/>
        <v>3 meses</v>
      </c>
    </row>
    <row r="33" spans="1:8" x14ac:dyDescent="0.25">
      <c r="A33" s="314" t="s">
        <v>812</v>
      </c>
      <c r="B33" s="316">
        <v>266248</v>
      </c>
      <c r="C33" s="316">
        <v>721</v>
      </c>
      <c r="E33" s="342" t="str">
        <f t="shared" si="0"/>
        <v>3 meses</v>
      </c>
      <c r="F33" s="341" t="str">
        <f t="shared" si="1"/>
        <v>4 meses</v>
      </c>
      <c r="G33" s="342" t="str">
        <f t="shared" si="2"/>
        <v>2 meses</v>
      </c>
      <c r="H33" s="341" t="str">
        <f t="shared" si="3"/>
        <v>3 meses</v>
      </c>
    </row>
    <row r="34" spans="1:8" x14ac:dyDescent="0.25">
      <c r="A34" s="314" t="s">
        <v>813</v>
      </c>
      <c r="B34" s="316">
        <v>118507</v>
      </c>
      <c r="C34" s="316">
        <v>252</v>
      </c>
      <c r="E34" s="342" t="str">
        <f t="shared" si="0"/>
        <v>2 meses</v>
      </c>
      <c r="F34" s="341" t="str">
        <f t="shared" si="1"/>
        <v>3 meses</v>
      </c>
      <c r="G34" s="342" t="str">
        <f t="shared" si="2"/>
        <v>1 mês</v>
      </c>
      <c r="H34" s="341" t="str">
        <f t="shared" si="3"/>
        <v>2 meses</v>
      </c>
    </row>
    <row r="35" spans="1:8" x14ac:dyDescent="0.25">
      <c r="A35" s="314" t="s">
        <v>814</v>
      </c>
      <c r="B35" s="316">
        <v>273142</v>
      </c>
      <c r="C35" s="316">
        <v>761</v>
      </c>
      <c r="E35" s="342" t="str">
        <f t="shared" si="0"/>
        <v>3 meses</v>
      </c>
      <c r="F35" s="341" t="str">
        <f t="shared" si="1"/>
        <v>4 meses</v>
      </c>
      <c r="G35" s="342" t="str">
        <f t="shared" si="2"/>
        <v>2 meses</v>
      </c>
      <c r="H35" s="341" t="str">
        <f t="shared" si="3"/>
        <v>3 meses</v>
      </c>
    </row>
    <row r="36" spans="1:8" x14ac:dyDescent="0.25">
      <c r="A36" s="314" t="s">
        <v>815</v>
      </c>
      <c r="B36" s="316">
        <v>21580</v>
      </c>
      <c r="C36" s="316">
        <v>146</v>
      </c>
      <c r="E36" s="342" t="str">
        <f t="shared" si="0"/>
        <v>1 mês</v>
      </c>
      <c r="F36" s="341" t="str">
        <f t="shared" si="1"/>
        <v>2 meses</v>
      </c>
      <c r="G36" s="342" t="str">
        <f t="shared" si="2"/>
        <v>1 mês</v>
      </c>
      <c r="H36" s="341" t="str">
        <f t="shared" si="3"/>
        <v>1 mês</v>
      </c>
    </row>
    <row r="37" spans="1:8" x14ac:dyDescent="0.25">
      <c r="A37" s="314" t="s">
        <v>816</v>
      </c>
      <c r="B37" s="316">
        <v>130681</v>
      </c>
      <c r="C37" s="316">
        <v>158</v>
      </c>
      <c r="E37" s="342" t="str">
        <f t="shared" si="0"/>
        <v>1 mês</v>
      </c>
      <c r="F37" s="341" t="str">
        <f t="shared" si="1"/>
        <v>2 meses</v>
      </c>
      <c r="G37" s="342" t="str">
        <f t="shared" si="2"/>
        <v>1 mês</v>
      </c>
      <c r="H37" s="341" t="str">
        <f t="shared" si="3"/>
        <v>1 mês</v>
      </c>
    </row>
    <row r="38" spans="1:8" x14ac:dyDescent="0.25">
      <c r="A38" s="318" t="s">
        <v>817</v>
      </c>
      <c r="B38" s="317">
        <f>SUM(B2:B37)</f>
        <v>5167783</v>
      </c>
      <c r="C38" s="317">
        <f>SUM(C2:C37)</f>
        <v>13563</v>
      </c>
    </row>
  </sheetData>
  <mergeCells count="1">
    <mergeCell ref="C19:C21"/>
  </mergeCells>
  <phoneticPr fontId="29" type="noConversion"/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  <pageSetUpPr fitToPage="1"/>
  </sheetPr>
  <dimension ref="A1:M8"/>
  <sheetViews>
    <sheetView view="pageBreakPreview" zoomScaleNormal="100" zoomScaleSheetLayoutView="100" workbookViewId="0">
      <selection activeCell="B3" sqref="B3"/>
    </sheetView>
  </sheetViews>
  <sheetFormatPr defaultColWidth="8.88671875" defaultRowHeight="15.6" x14ac:dyDescent="0.3"/>
  <cols>
    <col min="1" max="1" width="12.6640625" style="30" customWidth="1"/>
    <col min="2" max="2" width="68.6640625" style="30" customWidth="1"/>
    <col min="3" max="3" width="6.6640625" style="30" bestFit="1" customWidth="1"/>
    <col min="4" max="4" width="4.88671875" style="30" bestFit="1" customWidth="1"/>
    <col min="5" max="5" width="5.5546875" style="30" bestFit="1" customWidth="1"/>
    <col min="6" max="6" width="13.33203125" style="30" bestFit="1" customWidth="1"/>
    <col min="7" max="7" width="11.109375" style="30" bestFit="1" customWidth="1"/>
    <col min="8" max="9" width="13.33203125" style="30" bestFit="1" customWidth="1"/>
    <col min="10" max="10" width="8.88671875" style="30"/>
    <col min="11" max="11" width="13.33203125" style="30" bestFit="1" customWidth="1"/>
    <col min="12" max="12" width="8.88671875" style="30"/>
    <col min="13" max="13" width="13.33203125" style="30" bestFit="1" customWidth="1"/>
    <col min="14" max="16384" width="8.88671875" style="30"/>
  </cols>
  <sheetData>
    <row r="1" spans="1:13" x14ac:dyDescent="0.3">
      <c r="A1" s="498"/>
      <c r="B1" s="50" t="str">
        <f>CPU_Serviços!$C$1</f>
        <v>Prefeitura Municipal de Colatina</v>
      </c>
      <c r="C1" s="50"/>
      <c r="D1" s="50"/>
      <c r="E1" s="50"/>
      <c r="F1" s="50"/>
      <c r="G1" s="50"/>
      <c r="H1" s="50"/>
      <c r="I1" s="50"/>
    </row>
    <row r="2" spans="1:13" x14ac:dyDescent="0.3">
      <c r="A2" s="498"/>
      <c r="B2" s="306" t="str">
        <f>CPU_Serviços!$C$2</f>
        <v>Secretaria Municipal de Habitação e Regularização Fundiária</v>
      </c>
      <c r="C2" s="306"/>
      <c r="D2" s="306"/>
      <c r="E2" s="31"/>
      <c r="F2" s="31"/>
      <c r="G2" s="31"/>
      <c r="H2" s="31"/>
      <c r="I2" s="31"/>
    </row>
    <row r="3" spans="1:13" x14ac:dyDescent="0.3">
      <c r="A3" s="498"/>
      <c r="B3" s="32" t="s">
        <v>735</v>
      </c>
      <c r="C3" s="32"/>
      <c r="D3" s="32"/>
      <c r="E3" s="32"/>
      <c r="F3" s="32"/>
      <c r="G3" s="32"/>
      <c r="H3" s="32"/>
      <c r="I3" s="32"/>
    </row>
    <row r="4" spans="1:13" ht="31.95" customHeight="1" x14ac:dyDescent="0.3">
      <c r="A4" s="498"/>
      <c r="B4" s="565" t="s">
        <v>427</v>
      </c>
      <c r="C4" s="565"/>
      <c r="D4" s="565"/>
      <c r="E4" s="565"/>
      <c r="J4" s="471"/>
      <c r="K4" s="471"/>
      <c r="L4" s="471"/>
      <c r="M4" s="471"/>
    </row>
    <row r="5" spans="1:13" x14ac:dyDescent="0.3">
      <c r="A5" s="534" t="s">
        <v>244</v>
      </c>
      <c r="B5" s="534"/>
      <c r="C5" s="248" t="s">
        <v>245</v>
      </c>
      <c r="D5" s="248" t="s">
        <v>246</v>
      </c>
      <c r="E5" s="248" t="s">
        <v>280</v>
      </c>
      <c r="F5" s="50"/>
      <c r="G5" s="50"/>
      <c r="H5" s="50"/>
      <c r="I5" s="51"/>
      <c r="J5" s="471"/>
      <c r="K5" s="471"/>
      <c r="L5" s="471"/>
      <c r="M5" s="471"/>
    </row>
    <row r="6" spans="1:13" ht="32.4" customHeight="1" x14ac:dyDescent="0.3">
      <c r="A6" s="565" t="s">
        <v>431</v>
      </c>
      <c r="B6" s="566"/>
      <c r="C6" s="75">
        <v>12</v>
      </c>
      <c r="D6" s="75" t="s">
        <v>28</v>
      </c>
      <c r="E6" s="75"/>
      <c r="F6" s="50"/>
      <c r="G6" s="50"/>
      <c r="H6" s="50"/>
      <c r="I6" s="51"/>
      <c r="J6" s="33"/>
      <c r="K6" s="33"/>
      <c r="L6" s="33"/>
      <c r="M6" s="33"/>
    </row>
    <row r="7" spans="1:13" x14ac:dyDescent="0.3">
      <c r="A7" s="250" t="s">
        <v>428</v>
      </c>
      <c r="B7" s="251"/>
      <c r="C7" s="252"/>
      <c r="D7" s="252"/>
      <c r="E7" s="253"/>
      <c r="F7" s="33"/>
      <c r="G7" s="33"/>
      <c r="H7" s="33"/>
      <c r="I7" s="51"/>
      <c r="J7" s="45"/>
      <c r="K7" s="33"/>
      <c r="L7" s="45"/>
      <c r="M7" s="33"/>
    </row>
    <row r="8" spans="1:13" x14ac:dyDescent="0.3">
      <c r="A8" s="556" t="s">
        <v>725</v>
      </c>
      <c r="B8" s="557"/>
      <c r="C8" s="72">
        <v>12</v>
      </c>
      <c r="D8" s="72" t="s">
        <v>28</v>
      </c>
      <c r="E8" s="72">
        <f>C8/C6</f>
        <v>1</v>
      </c>
      <c r="F8" s="68"/>
      <c r="G8" s="68"/>
      <c r="H8" s="68"/>
      <c r="I8" s="69"/>
      <c r="J8" s="31"/>
      <c r="K8" s="34"/>
      <c r="L8" s="31"/>
      <c r="M8" s="34"/>
    </row>
  </sheetData>
  <mergeCells count="8">
    <mergeCell ref="A6:B6"/>
    <mergeCell ref="A8:B8"/>
    <mergeCell ref="A1:A4"/>
    <mergeCell ref="B4:E4"/>
    <mergeCell ref="J4:M4"/>
    <mergeCell ref="A5:B5"/>
    <mergeCell ref="J5:K5"/>
    <mergeCell ref="L5:M5"/>
  </mergeCells>
  <pageMargins left="0.511811024" right="0.511811024" top="0.78740157499999996" bottom="1.0786458333333333" header="0.31496062000000002" footer="0.31496062000000002"/>
  <pageSetup paperSize="9" scale="95" fitToHeight="0" orientation="portrait" r:id="rId1"/>
  <headerFooter>
    <oddFooter>&amp;RPrefeitura Municipal de Colatina
Travessa Avelino Guerra, 111, Sagrado Coração de Jesus
Telefone: (27) 3177-7000 | https://colatina.es.gov.br/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  <pageSetUpPr fitToPage="1"/>
  </sheetPr>
  <dimension ref="A1:M9"/>
  <sheetViews>
    <sheetView view="pageBreakPreview" zoomScaleNormal="100" zoomScaleSheetLayoutView="100" workbookViewId="0">
      <selection activeCell="A6" sqref="A6:B6"/>
    </sheetView>
  </sheetViews>
  <sheetFormatPr defaultColWidth="8.88671875" defaultRowHeight="15.6" x14ac:dyDescent="0.3"/>
  <cols>
    <col min="1" max="1" width="12.33203125" style="30" customWidth="1"/>
    <col min="2" max="2" width="66.88671875" style="30" customWidth="1"/>
    <col min="3" max="3" width="6.6640625" style="30" bestFit="1" customWidth="1"/>
    <col min="4" max="4" width="11" style="30" customWidth="1"/>
    <col min="5" max="5" width="7.109375" style="30" customWidth="1"/>
    <col min="6" max="6" width="13.33203125" style="30" bestFit="1" customWidth="1"/>
    <col min="7" max="7" width="11.109375" style="30" bestFit="1" customWidth="1"/>
    <col min="8" max="9" width="13.33203125" style="30" bestFit="1" customWidth="1"/>
    <col min="10" max="10" width="8.88671875" style="30"/>
    <col min="11" max="11" width="13.33203125" style="30" bestFit="1" customWidth="1"/>
    <col min="12" max="12" width="8.88671875" style="30"/>
    <col min="13" max="13" width="13.33203125" style="30" bestFit="1" customWidth="1"/>
    <col min="14" max="16384" width="8.88671875" style="30"/>
  </cols>
  <sheetData>
    <row r="1" spans="1:13" x14ac:dyDescent="0.3">
      <c r="A1" s="498"/>
      <c r="B1" s="50" t="str">
        <f>CPU_Serviços!$C$1</f>
        <v>Prefeitura Municipal de Colatina</v>
      </c>
      <c r="C1" s="50"/>
      <c r="D1" s="50"/>
      <c r="E1" s="50"/>
      <c r="F1" s="50"/>
      <c r="G1" s="50"/>
      <c r="H1" s="50"/>
      <c r="I1" s="50"/>
    </row>
    <row r="2" spans="1:13" x14ac:dyDescent="0.3">
      <c r="A2" s="498"/>
      <c r="B2" s="306" t="str">
        <f>CPU_Serviços!$C$2</f>
        <v>Secretaria Municipal de Habitação e Regularização Fundiária</v>
      </c>
      <c r="C2" s="306"/>
      <c r="D2" s="306"/>
      <c r="E2" s="31"/>
      <c r="F2" s="31"/>
      <c r="G2" s="31"/>
      <c r="H2" s="31"/>
      <c r="I2" s="31"/>
    </row>
    <row r="3" spans="1:13" ht="6.6" customHeight="1" x14ac:dyDescent="0.3">
      <c r="A3" s="498"/>
    </row>
    <row r="4" spans="1:13" x14ac:dyDescent="0.3">
      <c r="A4" s="498"/>
      <c r="B4" s="32" t="s">
        <v>735</v>
      </c>
      <c r="C4" s="32"/>
      <c r="D4" s="32"/>
      <c r="E4" s="32"/>
      <c r="F4" s="32"/>
      <c r="G4" s="32"/>
      <c r="H4" s="32"/>
      <c r="I4" s="32"/>
    </row>
    <row r="5" spans="1:13" ht="15.6" customHeight="1" x14ac:dyDescent="0.3">
      <c r="A5" s="498"/>
      <c r="B5" s="44" t="s">
        <v>429</v>
      </c>
      <c r="C5" s="44"/>
      <c r="D5" s="44"/>
      <c r="E5" s="44"/>
      <c r="J5" s="471"/>
      <c r="K5" s="471"/>
      <c r="L5" s="471"/>
      <c r="M5" s="471"/>
    </row>
    <row r="6" spans="1:13" x14ac:dyDescent="0.3">
      <c r="A6" s="534" t="s">
        <v>244</v>
      </c>
      <c r="B6" s="534"/>
      <c r="C6" s="248" t="s">
        <v>245</v>
      </c>
      <c r="D6" s="248" t="s">
        <v>246</v>
      </c>
      <c r="E6" s="248" t="s">
        <v>280</v>
      </c>
      <c r="F6" s="50"/>
      <c r="G6" s="50"/>
      <c r="H6" s="50"/>
      <c r="I6" s="51"/>
      <c r="J6" s="471"/>
      <c r="K6" s="471"/>
      <c r="L6" s="471"/>
      <c r="M6" s="471"/>
    </row>
    <row r="7" spans="1:13" ht="31.2" customHeight="1" x14ac:dyDescent="0.3">
      <c r="A7" s="565" t="s">
        <v>430</v>
      </c>
      <c r="B7" s="566"/>
      <c r="C7" s="75">
        <v>40</v>
      </c>
      <c r="D7" s="75" t="s">
        <v>438</v>
      </c>
      <c r="E7" s="75"/>
      <c r="F7" s="50"/>
      <c r="G7" s="50"/>
      <c r="H7" s="50"/>
      <c r="I7" s="51"/>
      <c r="J7" s="33"/>
      <c r="K7" s="33"/>
      <c r="L7" s="33"/>
      <c r="M7" s="33"/>
    </row>
    <row r="8" spans="1:13" x14ac:dyDescent="0.3">
      <c r="A8" s="250" t="s">
        <v>439</v>
      </c>
      <c r="B8" s="251"/>
      <c r="C8" s="252"/>
      <c r="D8" s="252"/>
      <c r="E8" s="253"/>
      <c r="F8" s="33"/>
      <c r="G8"/>
      <c r="H8" s="33"/>
      <c r="I8" s="51"/>
      <c r="J8" s="45"/>
      <c r="K8" s="33"/>
      <c r="L8" s="45"/>
      <c r="M8" s="33"/>
    </row>
    <row r="9" spans="1:13" x14ac:dyDescent="0.3">
      <c r="A9" s="556" t="s">
        <v>440</v>
      </c>
      <c r="B9" s="557"/>
      <c r="C9" s="72">
        <v>40</v>
      </c>
      <c r="D9" s="72" t="s">
        <v>438</v>
      </c>
      <c r="E9" s="72">
        <f>C9/C7</f>
        <v>1</v>
      </c>
      <c r="F9" s="68"/>
      <c r="G9" s="68"/>
      <c r="H9" s="68"/>
      <c r="I9" s="69"/>
      <c r="J9" s="31"/>
      <c r="K9" s="34"/>
      <c r="L9" s="31"/>
      <c r="M9" s="34"/>
    </row>
  </sheetData>
  <mergeCells count="7">
    <mergeCell ref="A7:B7"/>
    <mergeCell ref="A9:B9"/>
    <mergeCell ref="A1:A5"/>
    <mergeCell ref="J5:M5"/>
    <mergeCell ref="A6:B6"/>
    <mergeCell ref="J6:K6"/>
    <mergeCell ref="L6:M6"/>
  </mergeCells>
  <pageMargins left="0.511811024" right="0.511811024" top="0.78740157499999996" bottom="1.0406249999999999" header="0.31496062000000002" footer="0.31496062000000002"/>
  <pageSetup paperSize="9" scale="90" fitToHeight="0" orientation="portrait" r:id="rId1"/>
  <headerFooter>
    <oddFooter>&amp;RPrefeitura Municipal de Colatina
Travessa Avelino Guerra, 111, Sagrado Coração de Jesus
Telefone: (27) 3177-7000 | https://colatina.es.gov.br/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P52"/>
  <sheetViews>
    <sheetView view="pageBreakPreview" zoomScale="80" zoomScaleNormal="80" zoomScaleSheetLayoutView="80" zoomScalePage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C53" sqref="C53"/>
    </sheetView>
  </sheetViews>
  <sheetFormatPr defaultColWidth="10.6640625" defaultRowHeight="15" customHeight="1" x14ac:dyDescent="0.25"/>
  <cols>
    <col min="1" max="1" width="6.44140625" style="15" customWidth="1"/>
    <col min="2" max="2" width="46.33203125" style="15" customWidth="1"/>
    <col min="3" max="3" width="13.33203125" style="15" bestFit="1" customWidth="1"/>
    <col min="4" max="4" width="16.21875" style="15" bestFit="1" customWidth="1"/>
    <col min="5" max="7" width="14.77734375" style="15" customWidth="1"/>
    <col min="8" max="30" width="16.6640625" style="15" customWidth="1"/>
    <col min="31" max="57" width="17.77734375" style="15" customWidth="1"/>
    <col min="58" max="64" width="17.6640625" style="15" customWidth="1"/>
    <col min="65" max="65" width="12.6640625" style="15" customWidth="1"/>
    <col min="66" max="66" width="15.77734375" style="15" bestFit="1" customWidth="1"/>
    <col min="67" max="67" width="14.44140625" style="15" bestFit="1" customWidth="1"/>
    <col min="68" max="16384" width="10.6640625" style="15"/>
  </cols>
  <sheetData>
    <row r="1" spans="1:68" ht="15" customHeight="1" x14ac:dyDescent="0.25">
      <c r="B1" s="192"/>
      <c r="C1" s="192"/>
      <c r="D1" s="192"/>
      <c r="E1" s="392" t="s">
        <v>11</v>
      </c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 t="s">
        <v>11</v>
      </c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 t="s">
        <v>11</v>
      </c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 t="s">
        <v>11</v>
      </c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392"/>
      <c r="BA1" s="335"/>
      <c r="BB1" s="335"/>
      <c r="BC1" s="335"/>
      <c r="BD1" s="335"/>
      <c r="BE1" s="335"/>
      <c r="BF1" s="335"/>
      <c r="BG1" s="335"/>
      <c r="BH1" s="335"/>
      <c r="BI1" s="335"/>
      <c r="BJ1" s="335"/>
      <c r="BK1" s="335"/>
      <c r="BL1" s="335"/>
      <c r="BM1" s="192"/>
      <c r="BN1" s="192"/>
      <c r="BO1" s="192"/>
      <c r="BP1" s="192"/>
    </row>
    <row r="2" spans="1:68" ht="15" customHeight="1" x14ac:dyDescent="0.25">
      <c r="A2" s="299" t="s">
        <v>734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192"/>
      <c r="BL2" s="192"/>
      <c r="BM2" s="16"/>
    </row>
    <row r="3" spans="1:68" ht="15" customHeight="1" x14ac:dyDescent="0.25">
      <c r="A3" s="394" t="s">
        <v>847</v>
      </c>
      <c r="B3" s="395"/>
      <c r="C3" s="395"/>
      <c r="D3" s="395"/>
      <c r="E3" s="17"/>
      <c r="F3" s="18"/>
      <c r="G3" s="19"/>
      <c r="H3" s="20"/>
      <c r="I3" s="20"/>
      <c r="J3" s="20"/>
      <c r="K3" s="20"/>
      <c r="L3" s="20"/>
      <c r="M3" s="20"/>
      <c r="N3" s="20"/>
      <c r="O3" s="20"/>
      <c r="P3" s="17"/>
      <c r="Q3" s="17"/>
      <c r="R3" s="18"/>
      <c r="S3" s="19"/>
      <c r="T3" s="20"/>
      <c r="U3" s="20"/>
      <c r="V3" s="20"/>
      <c r="W3" s="20"/>
      <c r="X3" s="20"/>
      <c r="Y3" s="20"/>
      <c r="Z3" s="20"/>
      <c r="AA3" s="20"/>
      <c r="AB3" s="17"/>
      <c r="AC3" s="17"/>
      <c r="AD3" s="18"/>
      <c r="AE3" s="19"/>
      <c r="AF3" s="20"/>
      <c r="AG3" s="20"/>
      <c r="AH3" s="20"/>
      <c r="AI3" s="20"/>
      <c r="AJ3" s="20"/>
      <c r="AK3" s="20"/>
      <c r="AL3" s="20"/>
      <c r="AM3" s="20"/>
      <c r="AN3" s="17"/>
      <c r="AO3" s="17"/>
      <c r="AP3" s="18"/>
      <c r="AQ3" s="19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1"/>
    </row>
    <row r="4" spans="1:68" s="25" customFormat="1" ht="14.4" customHeight="1" x14ac:dyDescent="0.25">
      <c r="A4" s="183" t="s">
        <v>724</v>
      </c>
      <c r="B4" s="22"/>
      <c r="C4" s="22"/>
      <c r="D4" s="22"/>
      <c r="E4" s="23"/>
      <c r="F4" s="23"/>
      <c r="G4" s="23"/>
      <c r="H4" s="23"/>
      <c r="I4" s="23"/>
      <c r="J4" s="23"/>
      <c r="K4" s="24"/>
      <c r="L4" s="303"/>
      <c r="M4" s="303"/>
      <c r="N4" s="377">
        <f ca="1">TODAY()</f>
        <v>46013</v>
      </c>
      <c r="O4" s="377"/>
      <c r="P4" s="377"/>
      <c r="Q4" s="320"/>
      <c r="R4" s="320"/>
      <c r="S4" s="320"/>
      <c r="T4" s="320"/>
      <c r="U4" s="320"/>
      <c r="V4" s="320"/>
      <c r="W4" s="22"/>
      <c r="X4" s="22"/>
      <c r="Y4" s="22"/>
      <c r="Z4" s="377">
        <f ca="1">TODAY()</f>
        <v>46013</v>
      </c>
      <c r="AA4" s="377"/>
      <c r="AB4" s="377"/>
      <c r="AC4" s="320"/>
      <c r="AD4" s="320"/>
      <c r="AE4" s="320"/>
      <c r="AF4" s="320"/>
      <c r="AG4" s="320"/>
      <c r="AH4" s="320"/>
      <c r="AI4" s="22"/>
      <c r="AJ4" s="22"/>
      <c r="AK4" s="22"/>
      <c r="AL4" s="377">
        <f ca="1">TODAY()</f>
        <v>46013</v>
      </c>
      <c r="AM4" s="377"/>
      <c r="AN4" s="377"/>
      <c r="AO4" s="22"/>
      <c r="AP4" s="22"/>
      <c r="AQ4" s="22"/>
      <c r="AR4" s="22"/>
      <c r="AS4" s="22"/>
      <c r="AT4" s="22"/>
      <c r="AU4" s="22"/>
      <c r="AV4" s="22"/>
      <c r="AW4" s="22"/>
      <c r="AX4" s="377">
        <f ca="1">TODAY()</f>
        <v>46013</v>
      </c>
      <c r="AY4" s="377"/>
      <c r="AZ4" s="377"/>
      <c r="BA4" s="336"/>
      <c r="BB4" s="336"/>
      <c r="BC4" s="336"/>
      <c r="BD4" s="336"/>
      <c r="BE4" s="336"/>
      <c r="BF4" s="336"/>
      <c r="BG4" s="336"/>
      <c r="BH4" s="336"/>
      <c r="BI4" s="336"/>
      <c r="BJ4" s="377">
        <f ca="1">TODAY()</f>
        <v>46013</v>
      </c>
      <c r="BK4" s="377"/>
      <c r="BL4" s="377"/>
      <c r="BM4" s="23"/>
    </row>
    <row r="5" spans="1:68" ht="24.9" customHeight="1" x14ac:dyDescent="0.25">
      <c r="A5" s="389" t="s">
        <v>1</v>
      </c>
      <c r="B5" s="389" t="s">
        <v>12</v>
      </c>
      <c r="C5" s="389"/>
      <c r="D5" s="393" t="s">
        <v>24</v>
      </c>
      <c r="E5" s="390" t="s">
        <v>745</v>
      </c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0" t="s">
        <v>746</v>
      </c>
      <c r="R5" s="391"/>
      <c r="S5" s="391"/>
      <c r="T5" s="391"/>
      <c r="U5" s="391"/>
      <c r="V5" s="391"/>
      <c r="W5" s="391"/>
      <c r="X5" s="391"/>
      <c r="Y5" s="391"/>
      <c r="Z5" s="391"/>
      <c r="AA5" s="391"/>
      <c r="AB5" s="391"/>
      <c r="AC5" s="390" t="s">
        <v>777</v>
      </c>
      <c r="AD5" s="391"/>
      <c r="AE5" s="391"/>
      <c r="AF5" s="391"/>
      <c r="AG5" s="391"/>
      <c r="AH5" s="391"/>
      <c r="AI5" s="391"/>
      <c r="AJ5" s="391"/>
      <c r="AK5" s="391"/>
      <c r="AL5" s="391"/>
      <c r="AM5" s="391"/>
      <c r="AN5" s="391"/>
      <c r="AO5" s="390" t="s">
        <v>860</v>
      </c>
      <c r="AP5" s="391"/>
      <c r="AQ5" s="391"/>
      <c r="AR5" s="391"/>
      <c r="AS5" s="391"/>
      <c r="AT5" s="391"/>
      <c r="AU5" s="391"/>
      <c r="AV5" s="391"/>
      <c r="AW5" s="391"/>
      <c r="AX5" s="391"/>
      <c r="AY5" s="391"/>
      <c r="AZ5" s="391"/>
      <c r="BA5" s="390" t="s">
        <v>878</v>
      </c>
      <c r="BB5" s="391"/>
      <c r="BC5" s="391"/>
      <c r="BD5" s="391"/>
      <c r="BE5" s="391"/>
      <c r="BF5" s="391"/>
      <c r="BG5" s="391"/>
      <c r="BH5" s="391"/>
      <c r="BI5" s="391"/>
      <c r="BJ5" s="391"/>
      <c r="BK5" s="391"/>
      <c r="BL5" s="391"/>
      <c r="BM5" s="26"/>
    </row>
    <row r="6" spans="1:68" ht="24.9" customHeight="1" x14ac:dyDescent="0.25">
      <c r="A6" s="389"/>
      <c r="B6" s="389"/>
      <c r="C6" s="389"/>
      <c r="D6" s="393"/>
      <c r="E6" s="237" t="s">
        <v>23</v>
      </c>
      <c r="F6" s="237" t="s">
        <v>22</v>
      </c>
      <c r="G6" s="237" t="s">
        <v>21</v>
      </c>
      <c r="H6" s="237" t="s">
        <v>20</v>
      </c>
      <c r="I6" s="237" t="s">
        <v>29</v>
      </c>
      <c r="J6" s="238" t="s">
        <v>32</v>
      </c>
      <c r="K6" s="238" t="s">
        <v>41</v>
      </c>
      <c r="L6" s="238" t="s">
        <v>42</v>
      </c>
      <c r="M6" s="238" t="s">
        <v>43</v>
      </c>
      <c r="N6" s="238" t="s">
        <v>44</v>
      </c>
      <c r="O6" s="238" t="s">
        <v>45</v>
      </c>
      <c r="P6" s="238" t="s">
        <v>205</v>
      </c>
      <c r="Q6" s="238" t="s">
        <v>206</v>
      </c>
      <c r="R6" s="238" t="s">
        <v>207</v>
      </c>
      <c r="S6" s="238" t="s">
        <v>208</v>
      </c>
      <c r="T6" s="238" t="s">
        <v>209</v>
      </c>
      <c r="U6" s="238" t="s">
        <v>737</v>
      </c>
      <c r="V6" s="238" t="s">
        <v>738</v>
      </c>
      <c r="W6" s="238" t="s">
        <v>739</v>
      </c>
      <c r="X6" s="238" t="s">
        <v>740</v>
      </c>
      <c r="Y6" s="238" t="s">
        <v>741</v>
      </c>
      <c r="Z6" s="238" t="s">
        <v>742</v>
      </c>
      <c r="AA6" s="238" t="s">
        <v>743</v>
      </c>
      <c r="AB6" s="238" t="s">
        <v>744</v>
      </c>
      <c r="AC6" s="238" t="s">
        <v>765</v>
      </c>
      <c r="AD6" s="238" t="s">
        <v>766</v>
      </c>
      <c r="AE6" s="238" t="s">
        <v>767</v>
      </c>
      <c r="AF6" s="238" t="s">
        <v>768</v>
      </c>
      <c r="AG6" s="238" t="s">
        <v>769</v>
      </c>
      <c r="AH6" s="238" t="s">
        <v>770</v>
      </c>
      <c r="AI6" s="238" t="s">
        <v>771</v>
      </c>
      <c r="AJ6" s="238" t="s">
        <v>772</v>
      </c>
      <c r="AK6" s="238" t="s">
        <v>773</v>
      </c>
      <c r="AL6" s="238" t="s">
        <v>774</v>
      </c>
      <c r="AM6" s="238" t="s">
        <v>775</v>
      </c>
      <c r="AN6" s="238" t="s">
        <v>776</v>
      </c>
      <c r="AO6" s="238" t="s">
        <v>848</v>
      </c>
      <c r="AP6" s="238" t="s">
        <v>849</v>
      </c>
      <c r="AQ6" s="238" t="s">
        <v>850</v>
      </c>
      <c r="AR6" s="238" t="s">
        <v>851</v>
      </c>
      <c r="AS6" s="238" t="s">
        <v>852</v>
      </c>
      <c r="AT6" s="238" t="s">
        <v>853</v>
      </c>
      <c r="AU6" s="238" t="s">
        <v>854</v>
      </c>
      <c r="AV6" s="238" t="s">
        <v>855</v>
      </c>
      <c r="AW6" s="238" t="s">
        <v>856</v>
      </c>
      <c r="AX6" s="238" t="s">
        <v>857</v>
      </c>
      <c r="AY6" s="238" t="s">
        <v>858</v>
      </c>
      <c r="AZ6" s="238" t="s">
        <v>859</v>
      </c>
      <c r="BA6" s="238" t="s">
        <v>866</v>
      </c>
      <c r="BB6" s="238" t="s">
        <v>867</v>
      </c>
      <c r="BC6" s="238" t="s">
        <v>868</v>
      </c>
      <c r="BD6" s="238" t="s">
        <v>869</v>
      </c>
      <c r="BE6" s="238" t="s">
        <v>870</v>
      </c>
      <c r="BF6" s="238" t="s">
        <v>871</v>
      </c>
      <c r="BG6" s="238" t="s">
        <v>872</v>
      </c>
      <c r="BH6" s="238" t="s">
        <v>873</v>
      </c>
      <c r="BI6" s="238" t="s">
        <v>874</v>
      </c>
      <c r="BJ6" s="238" t="s">
        <v>875</v>
      </c>
      <c r="BK6" s="238" t="s">
        <v>876</v>
      </c>
      <c r="BL6" s="238" t="s">
        <v>877</v>
      </c>
      <c r="BM6" s="27"/>
    </row>
    <row r="7" spans="1:68" s="190" customFormat="1" ht="24.9" customHeight="1" x14ac:dyDescent="0.25">
      <c r="A7" s="380" t="s">
        <v>23</v>
      </c>
      <c r="B7" s="383" t="str">
        <f>'Planilha Orçamentária'!D6</f>
        <v>Auto de Demarcação Urbanística</v>
      </c>
      <c r="C7" s="188" t="s">
        <v>13</v>
      </c>
      <c r="D7" s="386">
        <f>'Planilha Orçamentária'!I6</f>
        <v>0</v>
      </c>
      <c r="E7" s="191">
        <f>IF(E8=0,0,IF(E9=0,VLOOKUP(E8,'Memória de Cálculo'!$B$6:$H$41,7,FALSE),VLOOKUP(E8,'Memória de Cálculo'!$B$6:$H$41,7,FALSE)+VLOOKUP(E9,'Memória de Cálculo'!$B$6:$H$41,7,FALSE)))</f>
        <v>0</v>
      </c>
      <c r="F7" s="191">
        <f>IF(F8=0,0,IF(F9=0,VLOOKUP(F8,'Memória de Cálculo'!$B$6:$H$41,7,FALSE),VLOOKUP(F8,'Memória de Cálculo'!$B$6:$H$41,7,FALSE)+VLOOKUP(F9,'Memória de Cálculo'!$B$6:$H$41,7,FALSE)))</f>
        <v>0</v>
      </c>
      <c r="G7" s="191">
        <f>IF(G8=0,0,IF(G9=0,VLOOKUP(G8,'Memória de Cálculo'!$B$6:$H$41,7,FALSE),VLOOKUP(G8,'Memória de Cálculo'!$B$6:$H$41,7,FALSE)+VLOOKUP(G9,'Memória de Cálculo'!$B$6:$H$41,7,FALSE)))</f>
        <v>2.7777777777777776E-2</v>
      </c>
      <c r="H7" s="191">
        <f>IF(H8=0,0,IF(H9=0,VLOOKUP(H8,'Memória de Cálculo'!$B$6:$H$41,7,FALSE),VLOOKUP(H8,'Memória de Cálculo'!$B$6:$H$41,7,FALSE)+VLOOKUP(H9,'Memória de Cálculo'!$B$6:$H$41,7,FALSE)))</f>
        <v>2.7777777777777776E-2</v>
      </c>
      <c r="I7" s="191">
        <f>IF(I8=0,0,IF(I9=0,VLOOKUP(I8,'Memória de Cálculo'!$B$6:$H$41,7,FALSE),VLOOKUP(I8,'Memória de Cálculo'!$B$6:$H$41,7,FALSE)+VLOOKUP(I9,'Memória de Cálculo'!$B$6:$H$41,7,FALSE)))</f>
        <v>0</v>
      </c>
      <c r="J7" s="191">
        <f>IF(J8=0,0,IF(J9=0,VLOOKUP(J8,'Memória de Cálculo'!$B$6:$H$41,7,FALSE),VLOOKUP(J8,'Memória de Cálculo'!$B$6:$H$41,7,FALSE)+VLOOKUP(J9,'Memória de Cálculo'!$B$6:$H$41,7,FALSE)))</f>
        <v>2.7777777777777776E-2</v>
      </c>
      <c r="K7" s="191">
        <f>IF(K8=0,0,IF(K9=0,VLOOKUP(K8,'Memória de Cálculo'!$B$6:$H$41,7,FALSE),VLOOKUP(K8,'Memória de Cálculo'!$B$6:$H$41,7,FALSE)+VLOOKUP(K9,'Memória de Cálculo'!$B$6:$H$41,7,FALSE)))</f>
        <v>2.7777777777777776E-2</v>
      </c>
      <c r="L7" s="191">
        <f>IF(L8=0,0,IF(L9=0,VLOOKUP(L8,'Memória de Cálculo'!$B$6:$H$41,7,FALSE),VLOOKUP(L8,'Memória de Cálculo'!$B$6:$H$41,7,FALSE)+VLOOKUP(L9,'Memória de Cálculo'!$B$6:$H$41,7,FALSE)))</f>
        <v>0</v>
      </c>
      <c r="M7" s="191">
        <f>IF(M8=0,0,IF(M9=0,VLOOKUP(M8,'Memória de Cálculo'!$B$6:$H$41,7,FALSE),VLOOKUP(M8,'Memória de Cálculo'!$B$6:$H$41,7,FALSE)+VLOOKUP(M9,'Memória de Cálculo'!$B$6:$H$41,7,FALSE)))</f>
        <v>2.7777777777777776E-2</v>
      </c>
      <c r="N7" s="191">
        <f>IF(N8=0,0,IF(N9=0,VLOOKUP(N8,'Memória de Cálculo'!$B$6:$H$41,7,FALSE),VLOOKUP(N8,'Memória de Cálculo'!$B$6:$H$41,7,FALSE)+VLOOKUP(N9,'Memória de Cálculo'!$B$6:$H$41,7,FALSE)))</f>
        <v>0</v>
      </c>
      <c r="O7" s="191">
        <f>IF(O8=0,0,IF(O9=0,VLOOKUP(O8,'Memória de Cálculo'!$B$6:$H$41,7,FALSE),VLOOKUP(O8,'Memória de Cálculo'!$B$6:$H$41,7,FALSE)+VLOOKUP(O9,'Memória de Cálculo'!$B$6:$H$41,7,FALSE)))</f>
        <v>0</v>
      </c>
      <c r="P7" s="191">
        <f>IF(P8=0,0,IF(P9=0,VLOOKUP(P8,'Memória de Cálculo'!$B$6:$H$41,7,FALSE),VLOOKUP(P8,'Memória de Cálculo'!$B$6:$H$41,7,FALSE)+VLOOKUP(P9,'Memória de Cálculo'!$B$6:$H$41,7,FALSE)))</f>
        <v>2.7777777777777776E-2</v>
      </c>
      <c r="Q7" s="191">
        <f>IF(Q8=0,0,IF(Q9=0,VLOOKUP(Q8,'Memória de Cálculo'!$B$6:$H$41,7,FALSE),VLOOKUP(Q8,'Memória de Cálculo'!$B$6:$H$41,7,FALSE)+VLOOKUP(Q9,'Memória de Cálculo'!$B$6:$H$41,7,FALSE)))</f>
        <v>2.7777777777777776E-2</v>
      </c>
      <c r="R7" s="191">
        <f>IF(R8=0,0,IF(R9=0,VLOOKUP(R8,'Memória de Cálculo'!$B$6:$H$41,7,FALSE),VLOOKUP(R8,'Memória de Cálculo'!$B$6:$H$41,7,FALSE)+VLOOKUP(R9,'Memória de Cálculo'!$B$6:$H$41,7,FALSE)))</f>
        <v>0</v>
      </c>
      <c r="S7" s="191">
        <f>IF(S8=0,0,IF(S9=0,VLOOKUP(S8,'Memória de Cálculo'!$B$6:$H$41,7,FALSE),VLOOKUP(S8,'Memória de Cálculo'!$B$6:$H$41,7,FALSE)+VLOOKUP(S9,'Memória de Cálculo'!$B$6:$H$41,7,FALSE)))</f>
        <v>0</v>
      </c>
      <c r="T7" s="191">
        <f>IF(T8=0,0,IF(T9=0,VLOOKUP(T8,'Memória de Cálculo'!$B$6:$H$41,7,FALSE),VLOOKUP(T8,'Memória de Cálculo'!$B$6:$H$41,7,FALSE)+VLOOKUP(T9,'Memória de Cálculo'!$B$6:$H$41,7,FALSE)))</f>
        <v>0</v>
      </c>
      <c r="U7" s="191">
        <f>IF(U8=0,0,IF(U9=0,VLOOKUP(U8,'Memória de Cálculo'!$B$6:$H$41,7,FALSE),VLOOKUP(U8,'Memória de Cálculo'!$B$6:$H$41,7,FALSE)+VLOOKUP(U9,'Memória de Cálculo'!$B$6:$H$41,7,FALSE)))</f>
        <v>2.7777777777777776E-2</v>
      </c>
      <c r="V7" s="191">
        <f>IF(V8=0,0,IF(V9=0,VLOOKUP(V8,'Memória de Cálculo'!$B$6:$H$41,7,FALSE),VLOOKUP(V8,'Memória de Cálculo'!$B$6:$H$41,7,FALSE)+VLOOKUP(V9,'Memória de Cálculo'!$B$6:$H$41,7,FALSE)))</f>
        <v>5.5555555555555552E-2</v>
      </c>
      <c r="W7" s="191">
        <f>IF(W8=0,0,IF(W9=0,VLOOKUP(W8,'Memória de Cálculo'!$B$6:$H$41,7,FALSE),VLOOKUP(W8,'Memória de Cálculo'!$B$6:$H$41,7,FALSE)+VLOOKUP(W9,'Memória de Cálculo'!$B$6:$H$41,7,FALSE)))</f>
        <v>0</v>
      </c>
      <c r="X7" s="191">
        <f>IF(X8=0,0,IF(X9=0,VLOOKUP(X8,'Memória de Cálculo'!$B$6:$H$41,7,FALSE),VLOOKUP(X8,'Memória de Cálculo'!$B$6:$H$41,7,FALSE)+VLOOKUP(X9,'Memória de Cálculo'!$B$6:$H$41,7,FALSE)))</f>
        <v>2.7777777777777776E-2</v>
      </c>
      <c r="Y7" s="191">
        <f>IF(Y8=0,0,IF(Y9=0,VLOOKUP(Y8,'Memória de Cálculo'!$B$6:$H$41,7,FALSE),VLOOKUP(Y8,'Memória de Cálculo'!$B$6:$H$41,7,FALSE)+VLOOKUP(Y9,'Memória de Cálculo'!$B$6:$H$41,7,FALSE)))</f>
        <v>0</v>
      </c>
      <c r="Z7" s="191">
        <f>IF(Z8=0,0,IF(Z9=0,VLOOKUP(Z8,'Memória de Cálculo'!$B$6:$H$41,7,FALSE),VLOOKUP(Z8,'Memória de Cálculo'!$B$6:$H$41,7,FALSE)+VLOOKUP(Z9,'Memória de Cálculo'!$B$6:$H$41,7,FALSE)))</f>
        <v>0</v>
      </c>
      <c r="AA7" s="191">
        <f>IF(AA8=0,0,IF(AA9=0,VLOOKUP(AA8,'Memória de Cálculo'!$B$6:$H$41,7,FALSE),VLOOKUP(AA8,'Memória de Cálculo'!$B$6:$H$41,7,FALSE)+VLOOKUP(AA9,'Memória de Cálculo'!$B$6:$H$41,7,FALSE)))</f>
        <v>2.7777777777777776E-2</v>
      </c>
      <c r="AB7" s="191">
        <f>IF(AB8=0,0,IF(AB9=0,VLOOKUP(AB8,'Memória de Cálculo'!$B$6:$H$41,7,FALSE),VLOOKUP(AB8,'Memória de Cálculo'!$B$6:$H$41,7,FALSE)+VLOOKUP(AB9,'Memória de Cálculo'!$B$6:$H$41,7,FALSE)))</f>
        <v>2.7777777777777776E-2</v>
      </c>
      <c r="AC7" s="191">
        <f>IF(AC8=0,0,IF(AC9=0,VLOOKUP(AC8,'Memória de Cálculo'!$B$6:$H$41,7,FALSE),VLOOKUP(AC8,'Memória de Cálculo'!$B$6:$H$41,7,FALSE)+VLOOKUP(AC9,'Memória de Cálculo'!$B$6:$H$41,7,FALSE)))</f>
        <v>0</v>
      </c>
      <c r="AD7" s="191">
        <f>IF(AD8=0,0,IF(AD9=0,VLOOKUP(AD8,'Memória de Cálculo'!$B$6:$H$41,7,FALSE),VLOOKUP(AD8,'Memória de Cálculo'!$B$6:$H$41,7,FALSE)+VLOOKUP(AD9,'Memória de Cálculo'!$B$6:$H$41,7,FALSE)))</f>
        <v>2.7777777777777776E-2</v>
      </c>
      <c r="AE7" s="191">
        <f>IF(AE8=0,0,IF(AE9=0,VLOOKUP(AE8,'Memória de Cálculo'!$B$6:$H$41,7,FALSE),VLOOKUP(AE8,'Memória de Cálculo'!$B$6:$H$41,7,FALSE)+VLOOKUP(AE9,'Memória de Cálculo'!$B$6:$H$41,7,FALSE)))</f>
        <v>0</v>
      </c>
      <c r="AF7" s="191">
        <f>IF(AF8=0,0,IF(AF9=0,VLOOKUP(AF8,'Memória de Cálculo'!$B$6:$H$41,7,FALSE),VLOOKUP(AF8,'Memória de Cálculo'!$B$6:$H$41,7,FALSE)+VLOOKUP(AF9,'Memória de Cálculo'!$B$6:$H$41,7,FALSE)))</f>
        <v>5.5555555555555552E-2</v>
      </c>
      <c r="AG7" s="191">
        <f>IF(AG8=0,0,IF(AG9=0,VLOOKUP(AG8,'Memória de Cálculo'!$B$6:$H$41,7,FALSE),VLOOKUP(AG8,'Memória de Cálculo'!$B$6:$H$41,7,FALSE)+VLOOKUP(AG9,'Memória de Cálculo'!$B$6:$H$41,7,FALSE)))</f>
        <v>2.7777777777777776E-2</v>
      </c>
      <c r="AH7" s="191">
        <f>IF(AH8=0,0,IF(AH9=0,VLOOKUP(AH8,'Memória de Cálculo'!$B$6:$H$41,7,FALSE),VLOOKUP(AH8,'Memória de Cálculo'!$B$6:$H$41,7,FALSE)+VLOOKUP(AH9,'Memória de Cálculo'!$B$6:$H$41,7,FALSE)))</f>
        <v>5.5555555555555552E-2</v>
      </c>
      <c r="AI7" s="191">
        <f>IF(AI8=0,0,IF(AI9=0,VLOOKUP(AI8,'Memória de Cálculo'!$B$6:$H$41,7,FALSE),VLOOKUP(AI8,'Memória de Cálculo'!$B$6:$H$41,7,FALSE)+VLOOKUP(AI9,'Memória de Cálculo'!$B$6:$H$41,7,FALSE)))</f>
        <v>2.7777777777777776E-2</v>
      </c>
      <c r="AJ7" s="191">
        <f>IF(AJ8=0,0,IF(AJ9=0,VLOOKUP(AJ8,'Memória de Cálculo'!$B$6:$H$41,7,FALSE),VLOOKUP(AJ8,'Memória de Cálculo'!$B$6:$H$41,7,FALSE)+VLOOKUP(AJ9,'Memória de Cálculo'!$B$6:$H$41,7,FALSE)))</f>
        <v>2.7777777777777776E-2</v>
      </c>
      <c r="AK7" s="191">
        <f>IF(AK8=0,0,IF(AK9=0,VLOOKUP(AK8,'Memória de Cálculo'!$B$6:$H$41,7,FALSE),VLOOKUP(AK8,'Memória de Cálculo'!$B$6:$H$41,7,FALSE)+VLOOKUP(AK9,'Memória de Cálculo'!$B$6:$H$41,7,FALSE)))</f>
        <v>5.5555555555555552E-2</v>
      </c>
      <c r="AL7" s="191">
        <f>IF(AL8=0,0,IF(AL9=0,VLOOKUP(AL8,'Memória de Cálculo'!$B$6:$H$41,7,FALSE),VLOOKUP(AL8,'Memória de Cálculo'!$B$6:$H$41,7,FALSE)+VLOOKUP(AL9,'Memória de Cálculo'!$B$6:$H$41,7,FALSE)))</f>
        <v>0</v>
      </c>
      <c r="AM7" s="191">
        <f>IF(AM8=0,0,IF(AM9=0,VLOOKUP(AM8,'Memória de Cálculo'!$B$6:$H$41,7,FALSE),VLOOKUP(AM8,'Memória de Cálculo'!$B$6:$H$41,7,FALSE)+VLOOKUP(AM9,'Memória de Cálculo'!$B$6:$H$41,7,FALSE)))</f>
        <v>2.7777777777777776E-2</v>
      </c>
      <c r="AN7" s="191">
        <f>IF(AN8=0,0,IF(AN9=0,VLOOKUP(AN8,'Memória de Cálculo'!$B$6:$H$41,7,FALSE),VLOOKUP(AN8,'Memória de Cálculo'!$B$6:$H$41,7,FALSE)+VLOOKUP(AN9,'Memória de Cálculo'!$B$6:$H$41,7,FALSE)))</f>
        <v>2.7777777777777776E-2</v>
      </c>
      <c r="AO7" s="191">
        <f>IF(AO8=0,0,IF(AO9=0,VLOOKUP(AO8,'Memória de Cálculo'!$B$6:$H$41,7,FALSE),VLOOKUP(AO8,'Memória de Cálculo'!$B$6:$H$41,7,FALSE)+VLOOKUP(AO9,'Memória de Cálculo'!$B$6:$H$41,7,FALSE)))</f>
        <v>0</v>
      </c>
      <c r="AP7" s="191">
        <f>IF(AP8=0,0,IF(AP9=0,VLOOKUP(AP8,'Memória de Cálculo'!$B$6:$H$41,7,FALSE),VLOOKUP(AP8,'Memória de Cálculo'!$B$6:$H$41,7,FALSE)+VLOOKUP(AP9,'Memória de Cálculo'!$B$6:$H$41,7,FALSE)))</f>
        <v>5.5555555555555552E-2</v>
      </c>
      <c r="AQ7" s="191">
        <f>IF(AQ8=0,0,IF(AQ9=0,VLOOKUP(AQ8,'Memória de Cálculo'!$B$6:$H$41,7,FALSE),VLOOKUP(AQ8,'Memória de Cálculo'!$B$6:$H$41,7,FALSE)+VLOOKUP(AQ9,'Memória de Cálculo'!$B$6:$H$41,7,FALSE)))</f>
        <v>2.7777777777777776E-2</v>
      </c>
      <c r="AR7" s="191">
        <f>IF(AR8=0,0,IF(AR9=0,VLOOKUP(AR8,'Memória de Cálculo'!$B$6:$H$41,7,FALSE),VLOOKUP(AR8,'Memória de Cálculo'!$B$6:$H$41,7,FALSE)+VLOOKUP(AR9,'Memória de Cálculo'!$B$6:$H$41,7,FALSE)))</f>
        <v>0</v>
      </c>
      <c r="AS7" s="191">
        <f>IF(AS8=0,0,IF(AS9=0,VLOOKUP(AS8,'Memória de Cálculo'!$B$6:$H$41,7,FALSE),VLOOKUP(AS8,'Memória de Cálculo'!$B$6:$H$41,7,FALSE)+VLOOKUP(AS9,'Memória de Cálculo'!$B$6:$H$41,7,FALSE)))</f>
        <v>5.5555555555555552E-2</v>
      </c>
      <c r="AT7" s="191">
        <f>IF(AT8=0,0,IF(AT9=0,VLOOKUP(AT8,'Memória de Cálculo'!$B$6:$H$41,7,FALSE),VLOOKUP(AT8,'Memória de Cálculo'!$B$6:$H$41,7,FALSE)+VLOOKUP(AT9,'Memória de Cálculo'!$B$6:$H$41,7,FALSE)))</f>
        <v>0</v>
      </c>
      <c r="AU7" s="191">
        <f>IF(AU8=0,0,IF(AU9=0,VLOOKUP(AU8,'Memória de Cálculo'!$B$6:$H$41,7,FALSE),VLOOKUP(AU8,'Memória de Cálculo'!$B$6:$H$41,7,FALSE)+VLOOKUP(AU9,'Memória de Cálculo'!$B$6:$H$41,7,FALSE)))</f>
        <v>0</v>
      </c>
      <c r="AV7" s="191">
        <f>IF(AV8=0,0,IF(AV9=0,VLOOKUP(AV8,'Memória de Cálculo'!$B$6:$H$41,7,FALSE),VLOOKUP(AV8,'Memória de Cálculo'!$B$6:$H$41,7,FALSE)+VLOOKUP(AV9,'Memória de Cálculo'!$B$6:$H$41,7,FALSE)))</f>
        <v>0</v>
      </c>
      <c r="AW7" s="191">
        <f>IF(AW8=0,0,IF(AW9=0,VLOOKUP(AW8,'Memória de Cálculo'!$B$6:$H$41,7,FALSE),VLOOKUP(AW8,'Memória de Cálculo'!$B$6:$H$41,7,FALSE)+VLOOKUP(AW9,'Memória de Cálculo'!$B$6:$H$41,7,FALSE)))</f>
        <v>0</v>
      </c>
      <c r="AX7" s="191">
        <f>IF(AX8=0,0,IF(AX9=0,VLOOKUP(AX8,'Memória de Cálculo'!$B$6:$H$41,7,FALSE),VLOOKUP(AX8,'Memória de Cálculo'!$B$6:$H$41,7,FALSE)+VLOOKUP(AX9,'Memória de Cálculo'!$B$6:$H$41,7,FALSE)))</f>
        <v>2.7777777777777776E-2</v>
      </c>
      <c r="AY7" s="191">
        <f>IF(AY8=0,0,IF(AY9=0,VLOOKUP(AY8,'Memória de Cálculo'!$B$6:$H$41,7,FALSE),VLOOKUP(AY8,'Memória de Cálculo'!$B$6:$H$41,7,FALSE)+VLOOKUP(AY9,'Memória de Cálculo'!$B$6:$H$41,7,FALSE)))</f>
        <v>0</v>
      </c>
      <c r="AZ7" s="191">
        <f>IF(AZ8=0,0,IF(AZ9=0,VLOOKUP(AZ8,'Memória de Cálculo'!$B$6:$H$41,7,FALSE),VLOOKUP(AZ8,'Memória de Cálculo'!$B$6:$H$41,7,FALSE)+VLOOKUP(AZ9,'Memória de Cálculo'!$B$6:$H$41,7,FALSE)))</f>
        <v>0</v>
      </c>
      <c r="BA7" s="191">
        <f>IF(BA8=0,0,IF(BA9=0,VLOOKUP(BA8,'Memória de Cálculo'!$B$6:$H$41,7,FALSE),VLOOKUP(BA8,'Memória de Cálculo'!$B$6:$H$41,7,FALSE)+VLOOKUP(BA9,'Memória de Cálculo'!$B$6:$H$41,7,FALSE)))</f>
        <v>2.7777777777777776E-2</v>
      </c>
      <c r="BB7" s="191">
        <f>IF(BB8=0,0,IF(BB9=0,VLOOKUP(BB8,'Memória de Cálculo'!$B$6:$H$41,7,FALSE),VLOOKUP(BB8,'Memória de Cálculo'!$B$6:$H$41,7,FALSE)+VLOOKUP(BB9,'Memória de Cálculo'!$B$6:$H$41,7,FALSE)))</f>
        <v>0</v>
      </c>
      <c r="BC7" s="191">
        <f>IF(BC8=0,0,IF(BC9=0,VLOOKUP(BC8,'Memória de Cálculo'!$B$6:$H$41,7,FALSE),VLOOKUP(BC8,'Memória de Cálculo'!$B$6:$H$41,7,FALSE)+VLOOKUP(BC9,'Memória de Cálculo'!$B$6:$H$41,7,FALSE)))</f>
        <v>2.7777777777777776E-2</v>
      </c>
      <c r="BD7" s="191">
        <f>IF(BD8=0,0,IF(BD9=0,VLOOKUP(BD8,'Memória de Cálculo'!$B$6:$H$41,7,FALSE),VLOOKUP(BD8,'Memória de Cálculo'!$B$6:$H$41,7,FALSE)+VLOOKUP(BD9,'Memória de Cálculo'!$B$6:$H$41,7,FALSE)))</f>
        <v>0</v>
      </c>
      <c r="BE7" s="191">
        <f>IF(BE8=0,0,IF(BE9=0,VLOOKUP(BE8,'Memória de Cálculo'!$B$6:$H$41,7,FALSE),VLOOKUP(BE8,'Memória de Cálculo'!$B$6:$H$41,7,FALSE)+VLOOKUP(BE9,'Memória de Cálculo'!$B$6:$H$41,7,FALSE)))</f>
        <v>2.7777777777777776E-2</v>
      </c>
      <c r="BF7" s="191">
        <f>IF(BF8=0,0,IF(BF9=0,VLOOKUP(BF8,'Memória de Cálculo'!$B$6:$H$41,7,FALSE),VLOOKUP(BF8,'Memória de Cálculo'!$B$6:$H$41,7,FALSE)+VLOOKUP(BF9,'Memória de Cálculo'!$B$6:$H$41,7,FALSE)))</f>
        <v>0</v>
      </c>
      <c r="BG7" s="191">
        <f>IF(BG8=0,0,IF(BG9=0,VLOOKUP(BG8,'Memória de Cálculo'!$B$6:$H$41,7,FALSE),VLOOKUP(BG8,'Memória de Cálculo'!$B$6:$H$41,7,FALSE)+VLOOKUP(BG9,'Memória de Cálculo'!$B$6:$H$41,7,FALSE)))</f>
        <v>2.7777777777777776E-2</v>
      </c>
      <c r="BH7" s="191">
        <f>IF(BH8=0,0,IF(BH9=0,VLOOKUP(BH8,'Memória de Cálculo'!$B$6:$H$41,7,FALSE),VLOOKUP(BH8,'Memória de Cálculo'!$B$6:$H$41,7,FALSE)+VLOOKUP(BH9,'Memória de Cálculo'!$B$6:$H$41,7,FALSE)))</f>
        <v>2.7777777777777776E-2</v>
      </c>
      <c r="BI7" s="191">
        <f>IF(BI8=0,0,IF(BI9=0,VLOOKUP(BI8,'Memória de Cálculo'!$B$6:$H$41,7,FALSE),VLOOKUP(BI8,'Memória de Cálculo'!$B$6:$H$41,7,FALSE)+VLOOKUP(BI9,'Memória de Cálculo'!$B$6:$H$41,7,FALSE)))</f>
        <v>0</v>
      </c>
      <c r="BJ7" s="191">
        <f>IF(BJ8=0,0,IF(BJ9=0,VLOOKUP(BJ8,'Memória de Cálculo'!$B$6:$H$41,7,FALSE),VLOOKUP(BJ8,'Memória de Cálculo'!$B$6:$H$41,7,FALSE)+VLOOKUP(BJ9,'Memória de Cálculo'!$B$6:$H$41,7,FALSE)))</f>
        <v>0</v>
      </c>
      <c r="BK7" s="191">
        <f>IF(BK8=0,0,IF(BK9=0,VLOOKUP(BK8,'Memória de Cálculo'!$B$6:$H$41,7,FALSE),VLOOKUP(BK8,'Memória de Cálculo'!$B$6:$H$41,7,FALSE)+VLOOKUP(BK9,'Memória de Cálculo'!$B$6:$H$41,7,FALSE)))</f>
        <v>0</v>
      </c>
      <c r="BL7" s="191">
        <f>IF(BL8=0,0,IF(BL9=0,VLOOKUP(BL8,'Memória de Cálculo'!$B$6:$H$41,7,FALSE),VLOOKUP(BL8,'Memória de Cálculo'!$B$6:$H$41,7,FALSE)+VLOOKUP(BL9,'Memória de Cálculo'!$B$6:$H$41,7,FALSE)))</f>
        <v>0</v>
      </c>
      <c r="BM7" s="189"/>
    </row>
    <row r="8" spans="1:68" s="190" customFormat="1" ht="24.9" hidden="1" customHeight="1" x14ac:dyDescent="0.25">
      <c r="A8" s="381"/>
      <c r="B8" s="384"/>
      <c r="C8" s="378" t="s">
        <v>861</v>
      </c>
      <c r="D8" s="387"/>
      <c r="E8" s="348"/>
      <c r="F8" s="348"/>
      <c r="G8" s="348" t="s">
        <v>782</v>
      </c>
      <c r="H8" s="348" t="s">
        <v>779</v>
      </c>
      <c r="I8" s="348"/>
      <c r="J8" s="348" t="s">
        <v>784</v>
      </c>
      <c r="K8" s="348" t="s">
        <v>783</v>
      </c>
      <c r="L8" s="348"/>
      <c r="M8" s="348" t="s">
        <v>785</v>
      </c>
      <c r="N8" s="348"/>
      <c r="O8" s="348"/>
      <c r="P8" s="348" t="s">
        <v>808</v>
      </c>
      <c r="Q8" s="348" t="s">
        <v>793</v>
      </c>
      <c r="R8" s="348"/>
      <c r="S8" s="348"/>
      <c r="T8" s="348"/>
      <c r="U8" s="348" t="s">
        <v>786</v>
      </c>
      <c r="V8" s="348" t="s">
        <v>788</v>
      </c>
      <c r="W8" s="348"/>
      <c r="X8" s="348" t="s">
        <v>789</v>
      </c>
      <c r="Y8" s="348"/>
      <c r="Z8" s="348"/>
      <c r="AA8" s="348" t="s">
        <v>790</v>
      </c>
      <c r="AB8" s="348" t="s">
        <v>791</v>
      </c>
      <c r="AC8" s="348"/>
      <c r="AD8" s="348" t="s">
        <v>792</v>
      </c>
      <c r="AE8" s="348"/>
      <c r="AF8" s="348" t="s">
        <v>794</v>
      </c>
      <c r="AG8" s="348" t="s">
        <v>796</v>
      </c>
      <c r="AH8" s="348" t="s">
        <v>797</v>
      </c>
      <c r="AI8" s="348" t="s">
        <v>799</v>
      </c>
      <c r="AJ8" s="348" t="s">
        <v>800</v>
      </c>
      <c r="AK8" s="348" t="s">
        <v>801</v>
      </c>
      <c r="AL8" s="348"/>
      <c r="AM8" s="348" t="s">
        <v>803</v>
      </c>
      <c r="AN8" s="348" t="s">
        <v>804</v>
      </c>
      <c r="AO8" s="348"/>
      <c r="AP8" s="348" t="s">
        <v>805</v>
      </c>
      <c r="AQ8" s="348" t="s">
        <v>807</v>
      </c>
      <c r="AR8" s="348"/>
      <c r="AS8" s="348" t="s">
        <v>809</v>
      </c>
      <c r="AT8" s="348"/>
      <c r="AU8" s="348"/>
      <c r="AV8" s="348"/>
      <c r="AW8" s="348"/>
      <c r="AX8" s="348" t="s">
        <v>811</v>
      </c>
      <c r="AY8" s="348"/>
      <c r="AZ8" s="348"/>
      <c r="BA8" s="348" t="s">
        <v>812</v>
      </c>
      <c r="BB8" s="348"/>
      <c r="BC8" s="348" t="s">
        <v>814</v>
      </c>
      <c r="BD8" s="348"/>
      <c r="BE8" s="348" t="s">
        <v>813</v>
      </c>
      <c r="BF8" s="348"/>
      <c r="BG8" s="348" t="s">
        <v>815</v>
      </c>
      <c r="BH8" s="348" t="s">
        <v>816</v>
      </c>
      <c r="BI8" s="348"/>
      <c r="BJ8" s="348"/>
      <c r="BK8" s="348"/>
      <c r="BL8" s="348"/>
      <c r="BM8" s="189"/>
    </row>
    <row r="9" spans="1:68" s="190" customFormat="1" ht="24.9" hidden="1" customHeight="1" x14ac:dyDescent="0.25">
      <c r="A9" s="381"/>
      <c r="B9" s="384"/>
      <c r="C9" s="379"/>
      <c r="D9" s="38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337"/>
      <c r="Q9" s="337"/>
      <c r="R9" s="337"/>
      <c r="S9" s="337"/>
      <c r="T9" s="337"/>
      <c r="U9" s="337"/>
      <c r="V9" s="337" t="s">
        <v>787</v>
      </c>
      <c r="W9" s="337"/>
      <c r="X9" s="337"/>
      <c r="Y9" s="337"/>
      <c r="Z9" s="337"/>
      <c r="AA9" s="337"/>
      <c r="AB9" s="337"/>
      <c r="AC9" s="337"/>
      <c r="AD9" s="337"/>
      <c r="AE9" s="337"/>
      <c r="AF9" s="337" t="s">
        <v>795</v>
      </c>
      <c r="AG9" s="337"/>
      <c r="AH9" s="337" t="s">
        <v>798</v>
      </c>
      <c r="AI9" s="337"/>
      <c r="AJ9" s="337"/>
      <c r="AK9" s="337" t="s">
        <v>802</v>
      </c>
      <c r="AL9" s="337"/>
      <c r="AM9" s="337"/>
      <c r="AN9" s="337"/>
      <c r="AO9" s="337"/>
      <c r="AP9" s="337" t="s">
        <v>806</v>
      </c>
      <c r="AQ9" s="337"/>
      <c r="AR9" s="337"/>
      <c r="AS9" s="337" t="s">
        <v>810</v>
      </c>
      <c r="AT9" s="337"/>
      <c r="AU9" s="337"/>
      <c r="AV9" s="337"/>
      <c r="AW9" s="337"/>
      <c r="AX9" s="337"/>
      <c r="AY9" s="337"/>
      <c r="AZ9" s="337"/>
      <c r="BA9" s="337"/>
      <c r="BB9" s="337"/>
      <c r="BC9" s="337"/>
      <c r="BD9" s="337"/>
      <c r="BE9" s="337"/>
      <c r="BF9" s="337"/>
      <c r="BG9" s="337"/>
      <c r="BH9" s="337"/>
      <c r="BI9" s="337"/>
      <c r="BJ9" s="337"/>
      <c r="BK9" s="337"/>
      <c r="BL9" s="337"/>
      <c r="BM9" s="189"/>
    </row>
    <row r="10" spans="1:68" s="100" customFormat="1" ht="24.9" customHeight="1" x14ac:dyDescent="0.25">
      <c r="A10" s="382"/>
      <c r="B10" s="385"/>
      <c r="C10" s="334" t="s">
        <v>14</v>
      </c>
      <c r="D10" s="388"/>
      <c r="E10" s="343">
        <f t="shared" ref="E10:BJ10" si="0">E7*$D$7</f>
        <v>0</v>
      </c>
      <c r="F10" s="343">
        <f t="shared" si="0"/>
        <v>0</v>
      </c>
      <c r="G10" s="343">
        <f t="shared" si="0"/>
        <v>0</v>
      </c>
      <c r="H10" s="343">
        <f t="shared" si="0"/>
        <v>0</v>
      </c>
      <c r="I10" s="343">
        <f t="shared" si="0"/>
        <v>0</v>
      </c>
      <c r="J10" s="343">
        <f t="shared" si="0"/>
        <v>0</v>
      </c>
      <c r="K10" s="343">
        <f t="shared" si="0"/>
        <v>0</v>
      </c>
      <c r="L10" s="343">
        <f t="shared" si="0"/>
        <v>0</v>
      </c>
      <c r="M10" s="343">
        <f t="shared" si="0"/>
        <v>0</v>
      </c>
      <c r="N10" s="343">
        <f t="shared" si="0"/>
        <v>0</v>
      </c>
      <c r="O10" s="343">
        <f t="shared" si="0"/>
        <v>0</v>
      </c>
      <c r="P10" s="343">
        <f t="shared" si="0"/>
        <v>0</v>
      </c>
      <c r="Q10" s="343">
        <f t="shared" si="0"/>
        <v>0</v>
      </c>
      <c r="R10" s="343">
        <f t="shared" si="0"/>
        <v>0</v>
      </c>
      <c r="S10" s="343">
        <f t="shared" si="0"/>
        <v>0</v>
      </c>
      <c r="T10" s="343">
        <f t="shared" si="0"/>
        <v>0</v>
      </c>
      <c r="U10" s="343">
        <f t="shared" si="0"/>
        <v>0</v>
      </c>
      <c r="V10" s="343">
        <f t="shared" si="0"/>
        <v>0</v>
      </c>
      <c r="W10" s="343">
        <f t="shared" si="0"/>
        <v>0</v>
      </c>
      <c r="X10" s="343">
        <f t="shared" si="0"/>
        <v>0</v>
      </c>
      <c r="Y10" s="343">
        <f t="shared" si="0"/>
        <v>0</v>
      </c>
      <c r="Z10" s="343">
        <f t="shared" si="0"/>
        <v>0</v>
      </c>
      <c r="AA10" s="343">
        <f t="shared" si="0"/>
        <v>0</v>
      </c>
      <c r="AB10" s="343">
        <f t="shared" si="0"/>
        <v>0</v>
      </c>
      <c r="AC10" s="343">
        <f t="shared" si="0"/>
        <v>0</v>
      </c>
      <c r="AD10" s="343">
        <f t="shared" si="0"/>
        <v>0</v>
      </c>
      <c r="AE10" s="343">
        <f t="shared" si="0"/>
        <v>0</v>
      </c>
      <c r="AF10" s="343">
        <f t="shared" si="0"/>
        <v>0</v>
      </c>
      <c r="AG10" s="343">
        <f t="shared" si="0"/>
        <v>0</v>
      </c>
      <c r="AH10" s="343">
        <f t="shared" si="0"/>
        <v>0</v>
      </c>
      <c r="AI10" s="343">
        <f t="shared" si="0"/>
        <v>0</v>
      </c>
      <c r="AJ10" s="343">
        <f t="shared" si="0"/>
        <v>0</v>
      </c>
      <c r="AK10" s="343">
        <f t="shared" si="0"/>
        <v>0</v>
      </c>
      <c r="AL10" s="343">
        <f t="shared" si="0"/>
        <v>0</v>
      </c>
      <c r="AM10" s="343">
        <f t="shared" si="0"/>
        <v>0</v>
      </c>
      <c r="AN10" s="343">
        <f t="shared" si="0"/>
        <v>0</v>
      </c>
      <c r="AO10" s="343">
        <f t="shared" si="0"/>
        <v>0</v>
      </c>
      <c r="AP10" s="343">
        <f t="shared" si="0"/>
        <v>0</v>
      </c>
      <c r="AQ10" s="343">
        <f t="shared" si="0"/>
        <v>0</v>
      </c>
      <c r="AR10" s="343">
        <f t="shared" si="0"/>
        <v>0</v>
      </c>
      <c r="AS10" s="343">
        <f t="shared" si="0"/>
        <v>0</v>
      </c>
      <c r="AT10" s="343">
        <f t="shared" si="0"/>
        <v>0</v>
      </c>
      <c r="AU10" s="343">
        <f t="shared" si="0"/>
        <v>0</v>
      </c>
      <c r="AV10" s="343">
        <f t="shared" si="0"/>
        <v>0</v>
      </c>
      <c r="AW10" s="343">
        <f t="shared" si="0"/>
        <v>0</v>
      </c>
      <c r="AX10" s="343">
        <f t="shared" si="0"/>
        <v>0</v>
      </c>
      <c r="AY10" s="343">
        <f t="shared" si="0"/>
        <v>0</v>
      </c>
      <c r="AZ10" s="343">
        <f t="shared" si="0"/>
        <v>0</v>
      </c>
      <c r="BA10" s="343">
        <f t="shared" si="0"/>
        <v>0</v>
      </c>
      <c r="BB10" s="343">
        <f t="shared" si="0"/>
        <v>0</v>
      </c>
      <c r="BC10" s="343">
        <f t="shared" si="0"/>
        <v>0</v>
      </c>
      <c r="BD10" s="343">
        <f t="shared" si="0"/>
        <v>0</v>
      </c>
      <c r="BE10" s="343">
        <f t="shared" ref="BE10:BH10" si="1">BE7*$D$7</f>
        <v>0</v>
      </c>
      <c r="BF10" s="343">
        <f t="shared" si="1"/>
        <v>0</v>
      </c>
      <c r="BG10" s="343">
        <f t="shared" si="1"/>
        <v>0</v>
      </c>
      <c r="BH10" s="343">
        <f t="shared" si="1"/>
        <v>0</v>
      </c>
      <c r="BI10" s="343">
        <f t="shared" si="0"/>
        <v>0</v>
      </c>
      <c r="BJ10" s="343">
        <f t="shared" si="0"/>
        <v>0</v>
      </c>
      <c r="BK10" s="343">
        <f t="shared" ref="BK10:BL10" si="2">BK7*$D$7</f>
        <v>0</v>
      </c>
      <c r="BL10" s="343">
        <f t="shared" si="2"/>
        <v>0</v>
      </c>
      <c r="BM10" s="344"/>
      <c r="BN10" s="100">
        <f>SUM(E10:BL10)</f>
        <v>0</v>
      </c>
      <c r="BO10" s="100">
        <f>BN10-D7</f>
        <v>0</v>
      </c>
    </row>
    <row r="11" spans="1:68" s="190" customFormat="1" ht="24.9" customHeight="1" x14ac:dyDescent="0.25">
      <c r="A11" s="380" t="s">
        <v>22</v>
      </c>
      <c r="B11" s="383" t="str">
        <f>'Planilha Orçamentária'!D7</f>
        <v>Mobilização Comunitária Inicial</v>
      </c>
      <c r="C11" s="188" t="s">
        <v>13</v>
      </c>
      <c r="D11" s="386">
        <f>'Planilha Orçamentária'!I7</f>
        <v>0</v>
      </c>
      <c r="E11" s="191">
        <f>IF(E12=0,0,IF(E13=0,VLOOKUP(E12,'Memória de Cálculo'!$B$45:$H$80,7,FALSE),VLOOKUP(E12,'Memória de Cálculo'!$B$45:$H$80,7,FALSE)+VLOOKUP(E13,'Memória de Cálculo'!$B$45:$H$80,7,FALSE)))</f>
        <v>0</v>
      </c>
      <c r="F11" s="191">
        <f>IF(F12=0,0,IF(F13=0,VLOOKUP(F12,'Memória de Cálculo'!$B$45:$H$80,7,FALSE),VLOOKUP(F12,'Memória de Cálculo'!$B$45:$H$80,7,FALSE)+VLOOKUP(F13,'Memória de Cálculo'!$B$45:$H$80,7,FALSE)))</f>
        <v>0</v>
      </c>
      <c r="G11" s="191">
        <f>IF(G12=0,0,IF(G13=0,VLOOKUP(G12,'Memória de Cálculo'!$B$45:$H$80,7,FALSE),VLOOKUP(G12,'Memória de Cálculo'!$B$45:$H$80,7,FALSE)+VLOOKUP(G13,'Memória de Cálculo'!$B$45:$H$80,7,FALSE)))</f>
        <v>2.7777777777777776E-2</v>
      </c>
      <c r="H11" s="191">
        <f>IF(H12=0,0,IF(H13=0,VLOOKUP(H12,'Memória de Cálculo'!$B$45:$H$80,7,FALSE),VLOOKUP(H12,'Memória de Cálculo'!$B$45:$H$80,7,FALSE)+VLOOKUP(H13,'Memória de Cálculo'!$B$45:$H$80,7,FALSE)))</f>
        <v>2.7777777777777776E-2</v>
      </c>
      <c r="I11" s="191">
        <f>IF(I12=0,0,IF(I13=0,VLOOKUP(I12,'Memória de Cálculo'!$B$45:$H$80,7,FALSE),VLOOKUP(I12,'Memória de Cálculo'!$B$45:$H$80,7,FALSE)+VLOOKUP(I13,'Memória de Cálculo'!$B$45:$H$80,7,FALSE)))</f>
        <v>0</v>
      </c>
      <c r="J11" s="191">
        <f>IF(J12=0,0,IF(J13=0,VLOOKUP(J12,'Memória de Cálculo'!$B$45:$H$80,7,FALSE),VLOOKUP(J12,'Memória de Cálculo'!$B$45:$H$80,7,FALSE)+VLOOKUP(J13,'Memória de Cálculo'!$B$45:$H$80,7,FALSE)))</f>
        <v>2.7777777777777776E-2</v>
      </c>
      <c r="K11" s="191">
        <f>IF(K12=0,0,IF(K13=0,VLOOKUP(K12,'Memória de Cálculo'!$B$45:$H$80,7,FALSE),VLOOKUP(K12,'Memória de Cálculo'!$B$45:$H$80,7,FALSE)+VLOOKUP(K13,'Memória de Cálculo'!$B$45:$H$80,7,FALSE)))</f>
        <v>2.7777777777777776E-2</v>
      </c>
      <c r="L11" s="191">
        <f>IF(L12=0,0,IF(L13=0,VLOOKUP(L12,'Memória de Cálculo'!$B$45:$H$80,7,FALSE),VLOOKUP(L12,'Memória de Cálculo'!$B$45:$H$80,7,FALSE)+VLOOKUP(L13,'Memória de Cálculo'!$B$45:$H$80,7,FALSE)))</f>
        <v>0</v>
      </c>
      <c r="M11" s="191">
        <f>IF(M12=0,0,IF(M13=0,VLOOKUP(M12,'Memória de Cálculo'!$B$45:$H$80,7,FALSE),VLOOKUP(M12,'Memória de Cálculo'!$B$45:$H$80,7,FALSE)+VLOOKUP(M13,'Memória de Cálculo'!$B$45:$H$80,7,FALSE)))</f>
        <v>2.7777777777777776E-2</v>
      </c>
      <c r="N11" s="191">
        <f>IF(N12=0,0,IF(N13=0,VLOOKUP(N12,'Memória de Cálculo'!$B$45:$H$80,7,FALSE),VLOOKUP(N12,'Memória de Cálculo'!$B$45:$H$80,7,FALSE)+VLOOKUP(N13,'Memória de Cálculo'!$B$45:$H$80,7,FALSE)))</f>
        <v>0</v>
      </c>
      <c r="O11" s="191">
        <f>IF(O12=0,0,IF(O13=0,VLOOKUP(O12,'Memória de Cálculo'!$B$45:$H$80,7,FALSE),VLOOKUP(O12,'Memória de Cálculo'!$B$45:$H$80,7,FALSE)+VLOOKUP(O13,'Memória de Cálculo'!$B$45:$H$80,7,FALSE)))</f>
        <v>0</v>
      </c>
      <c r="P11" s="191">
        <f>IF(P12=0,0,IF(P13=0,VLOOKUP(P12,'Memória de Cálculo'!$B$45:$H$80,7,FALSE),VLOOKUP(P12,'Memória de Cálculo'!$B$45:$H$80,7,FALSE)+VLOOKUP(P13,'Memória de Cálculo'!$B$45:$H$80,7,FALSE)))</f>
        <v>2.7777777777777776E-2</v>
      </c>
      <c r="Q11" s="191">
        <f>IF(Q12=0,0,IF(Q13=0,VLOOKUP(Q12,'Memória de Cálculo'!$B$45:$H$80,7,FALSE),VLOOKUP(Q12,'Memória de Cálculo'!$B$45:$H$80,7,FALSE)+VLOOKUP(Q13,'Memória de Cálculo'!$B$45:$H$80,7,FALSE)))</f>
        <v>2.7777777777777776E-2</v>
      </c>
      <c r="R11" s="191">
        <f>IF(R12=0,0,IF(R13=0,VLOOKUP(R12,'Memória de Cálculo'!$B$45:$H$80,7,FALSE),VLOOKUP(R12,'Memória de Cálculo'!$B$45:$H$80,7,FALSE)+VLOOKUP(R13,'Memória de Cálculo'!$B$45:$H$80,7,FALSE)))</f>
        <v>0</v>
      </c>
      <c r="S11" s="191">
        <f>IF(S12=0,0,IF(S13=0,VLOOKUP(S12,'Memória de Cálculo'!$B$45:$H$80,7,FALSE),VLOOKUP(S12,'Memória de Cálculo'!$B$45:$H$80,7,FALSE)+VLOOKUP(S13,'Memória de Cálculo'!$B$45:$H$80,7,FALSE)))</f>
        <v>0</v>
      </c>
      <c r="T11" s="191">
        <f>IF(T12=0,0,IF(T13=0,VLOOKUP(T12,'Memória de Cálculo'!$B$45:$H$80,7,FALSE),VLOOKUP(T12,'Memória de Cálculo'!$B$45:$H$80,7,FALSE)+VLOOKUP(T13,'Memória de Cálculo'!$B$45:$H$80,7,FALSE)))</f>
        <v>0</v>
      </c>
      <c r="U11" s="191">
        <f>IF(U12=0,0,IF(U13=0,VLOOKUP(U12,'Memória de Cálculo'!$B$45:$H$80,7,FALSE),VLOOKUP(U12,'Memória de Cálculo'!$B$45:$H$80,7,FALSE)+VLOOKUP(U13,'Memória de Cálculo'!$B$45:$H$80,7,FALSE)))</f>
        <v>2.7777777777777776E-2</v>
      </c>
      <c r="V11" s="191">
        <f>IF(V12=0,0,IF(V13=0,VLOOKUP(V12,'Memória de Cálculo'!$B$45:$H$80,7,FALSE),VLOOKUP(V12,'Memória de Cálculo'!$B$45:$H$80,7,FALSE)+VLOOKUP(V13,'Memória de Cálculo'!$B$45:$H$80,7,FALSE)))</f>
        <v>5.5555555555555552E-2</v>
      </c>
      <c r="W11" s="191">
        <f>IF(W12=0,0,IF(W13=0,VLOOKUP(W12,'Memória de Cálculo'!$B$45:$H$80,7,FALSE),VLOOKUP(W12,'Memória de Cálculo'!$B$45:$H$80,7,FALSE)+VLOOKUP(W13,'Memória de Cálculo'!$B$45:$H$80,7,FALSE)))</f>
        <v>0</v>
      </c>
      <c r="X11" s="191">
        <f>IF(X12=0,0,IF(X13=0,VLOOKUP(X12,'Memória de Cálculo'!$B$45:$H$80,7,FALSE),VLOOKUP(X12,'Memória de Cálculo'!$B$45:$H$80,7,FALSE)+VLOOKUP(X13,'Memória de Cálculo'!$B$45:$H$80,7,FALSE)))</f>
        <v>2.7777777777777776E-2</v>
      </c>
      <c r="Y11" s="191">
        <f>IF(Y12=0,0,IF(Y13=0,VLOOKUP(Y12,'Memória de Cálculo'!$B$45:$H$80,7,FALSE),VLOOKUP(Y12,'Memória de Cálculo'!$B$45:$H$80,7,FALSE)+VLOOKUP(Y13,'Memória de Cálculo'!$B$45:$H$80,7,FALSE)))</f>
        <v>0</v>
      </c>
      <c r="Z11" s="191">
        <f>IF(Z12=0,0,IF(Z13=0,VLOOKUP(Z12,'Memória de Cálculo'!$B$45:$H$80,7,FALSE),VLOOKUP(Z12,'Memória de Cálculo'!$B$45:$H$80,7,FALSE)+VLOOKUP(Z13,'Memória de Cálculo'!$B$45:$H$80,7,FALSE)))</f>
        <v>0</v>
      </c>
      <c r="AA11" s="191">
        <f>IF(AA12=0,0,IF(AA13=0,VLOOKUP(AA12,'Memória de Cálculo'!$B$45:$H$80,7,FALSE),VLOOKUP(AA12,'Memória de Cálculo'!$B$45:$H$80,7,FALSE)+VLOOKUP(AA13,'Memória de Cálculo'!$B$45:$H$80,7,FALSE)))</f>
        <v>2.7777777777777776E-2</v>
      </c>
      <c r="AB11" s="191">
        <f>IF(AB12=0,0,IF(AB13=0,VLOOKUP(AB12,'Memória de Cálculo'!$B$45:$H$80,7,FALSE),VLOOKUP(AB12,'Memória de Cálculo'!$B$45:$H$80,7,FALSE)+VLOOKUP(AB13,'Memória de Cálculo'!$B$45:$H$80,7,FALSE)))</f>
        <v>2.7777777777777776E-2</v>
      </c>
      <c r="AC11" s="191">
        <f>IF(AC12=0,0,IF(AC13=0,VLOOKUP(AC12,'Memória de Cálculo'!$B$45:$H$80,7,FALSE),VLOOKUP(AC12,'Memória de Cálculo'!$B$45:$H$80,7,FALSE)+VLOOKUP(AC13,'Memória de Cálculo'!$B$45:$H$80,7,FALSE)))</f>
        <v>0</v>
      </c>
      <c r="AD11" s="191">
        <f>IF(AD12=0,0,IF(AD13=0,VLOOKUP(AD12,'Memória de Cálculo'!$B$45:$H$80,7,FALSE),VLOOKUP(AD12,'Memória de Cálculo'!$B$45:$H$80,7,FALSE)+VLOOKUP(AD13,'Memória de Cálculo'!$B$45:$H$80,7,FALSE)))</f>
        <v>2.7777777777777776E-2</v>
      </c>
      <c r="AE11" s="191">
        <f>IF(AE12=0,0,IF(AE13=0,VLOOKUP(AE12,'Memória de Cálculo'!$B$45:$H$80,7,FALSE),VLOOKUP(AE12,'Memória de Cálculo'!$B$45:$H$80,7,FALSE)+VLOOKUP(AE13,'Memória de Cálculo'!$B$45:$H$80,7,FALSE)))</f>
        <v>0</v>
      </c>
      <c r="AF11" s="191">
        <f>IF(AF12=0,0,IF(AF13=0,VLOOKUP(AF12,'Memória de Cálculo'!$B$45:$H$80,7,FALSE),VLOOKUP(AF12,'Memória de Cálculo'!$B$45:$H$80,7,FALSE)+VLOOKUP(AF13,'Memória de Cálculo'!$B$45:$H$80,7,FALSE)))</f>
        <v>5.5555555555555552E-2</v>
      </c>
      <c r="AG11" s="191">
        <f>IF(AG12=0,0,IF(AG13=0,VLOOKUP(AG12,'Memória de Cálculo'!$B$45:$H$80,7,FALSE),VLOOKUP(AG12,'Memória de Cálculo'!$B$45:$H$80,7,FALSE)+VLOOKUP(AG13,'Memória de Cálculo'!$B$45:$H$80,7,FALSE)))</f>
        <v>2.7777777777777776E-2</v>
      </c>
      <c r="AH11" s="191">
        <f>IF(AH12=0,0,IF(AH13=0,VLOOKUP(AH12,'Memória de Cálculo'!$B$45:$H$80,7,FALSE),VLOOKUP(AH12,'Memória de Cálculo'!$B$45:$H$80,7,FALSE)+VLOOKUP(AH13,'Memória de Cálculo'!$B$45:$H$80,7,FALSE)))</f>
        <v>5.5555555555555552E-2</v>
      </c>
      <c r="AI11" s="191">
        <f>IF(AI12=0,0,IF(AI13=0,VLOOKUP(AI12,'Memória de Cálculo'!$B$45:$H$80,7,FALSE),VLOOKUP(AI12,'Memória de Cálculo'!$B$45:$H$80,7,FALSE)+VLOOKUP(AI13,'Memória de Cálculo'!$B$45:$H$80,7,FALSE)))</f>
        <v>2.7777777777777776E-2</v>
      </c>
      <c r="AJ11" s="191">
        <f>IF(AJ12=0,0,IF(AJ13=0,VLOOKUP(AJ12,'Memória de Cálculo'!$B$45:$H$80,7,FALSE),VLOOKUP(AJ12,'Memória de Cálculo'!$B$45:$H$80,7,FALSE)+VLOOKUP(AJ13,'Memória de Cálculo'!$B$45:$H$80,7,FALSE)))</f>
        <v>2.7777777777777776E-2</v>
      </c>
      <c r="AK11" s="191">
        <f>IF(AK12=0,0,IF(AK13=0,VLOOKUP(AK12,'Memória de Cálculo'!$B$45:$H$80,7,FALSE),VLOOKUP(AK12,'Memória de Cálculo'!$B$45:$H$80,7,FALSE)+VLOOKUP(AK13,'Memória de Cálculo'!$B$45:$H$80,7,FALSE)))</f>
        <v>5.5555555555555552E-2</v>
      </c>
      <c r="AL11" s="191">
        <f>IF(AL12=0,0,IF(AL13=0,VLOOKUP(AL12,'Memória de Cálculo'!$B$45:$H$80,7,FALSE),VLOOKUP(AL12,'Memória de Cálculo'!$B$45:$H$80,7,FALSE)+VLOOKUP(AL13,'Memória de Cálculo'!$B$45:$H$80,7,FALSE)))</f>
        <v>0</v>
      </c>
      <c r="AM11" s="191">
        <f>IF(AM12=0,0,IF(AM13=0,VLOOKUP(AM12,'Memória de Cálculo'!$B$45:$H$80,7,FALSE),VLOOKUP(AM12,'Memória de Cálculo'!$B$45:$H$80,7,FALSE)+VLOOKUP(AM13,'Memória de Cálculo'!$B$45:$H$80,7,FALSE)))</f>
        <v>2.7777777777777776E-2</v>
      </c>
      <c r="AN11" s="191">
        <f>IF(AN12=0,0,IF(AN13=0,VLOOKUP(AN12,'Memória de Cálculo'!$B$45:$H$80,7,FALSE),VLOOKUP(AN12,'Memória de Cálculo'!$B$45:$H$80,7,FALSE)+VLOOKUP(AN13,'Memória de Cálculo'!$B$45:$H$80,7,FALSE)))</f>
        <v>2.7777777777777776E-2</v>
      </c>
      <c r="AO11" s="191">
        <f>IF(AO12=0,0,IF(AO13=0,VLOOKUP(AO12,'Memória de Cálculo'!$B$45:$H$80,7,FALSE),VLOOKUP(AO12,'Memória de Cálculo'!$B$45:$H$80,7,FALSE)+VLOOKUP(AO13,'Memória de Cálculo'!$B$45:$H$80,7,FALSE)))</f>
        <v>0</v>
      </c>
      <c r="AP11" s="191">
        <f>IF(AP12=0,0,IF(AP13=0,VLOOKUP(AP12,'Memória de Cálculo'!$B$45:$H$80,7,FALSE),VLOOKUP(AP12,'Memória de Cálculo'!$B$45:$H$80,7,FALSE)+VLOOKUP(AP13,'Memória de Cálculo'!$B$45:$H$80,7,FALSE)))</f>
        <v>5.5555555555555552E-2</v>
      </c>
      <c r="AQ11" s="191">
        <f>IF(AQ12=0,0,IF(AQ13=0,VLOOKUP(AQ12,'Memória de Cálculo'!$B$45:$H$80,7,FALSE),VLOOKUP(AQ12,'Memória de Cálculo'!$B$45:$H$80,7,FALSE)+VLOOKUP(AQ13,'Memória de Cálculo'!$B$45:$H$80,7,FALSE)))</f>
        <v>2.7777777777777776E-2</v>
      </c>
      <c r="AR11" s="191">
        <f>IF(AR12=0,0,IF(AR13=0,VLOOKUP(AR12,'Memória de Cálculo'!$B$45:$H$80,7,FALSE),VLOOKUP(AR12,'Memória de Cálculo'!$B$45:$H$80,7,FALSE)+VLOOKUP(AR13,'Memória de Cálculo'!$B$45:$H$80,7,FALSE)))</f>
        <v>0</v>
      </c>
      <c r="AS11" s="191">
        <f>IF(AS12=0,0,IF(AS13=0,VLOOKUP(AS12,'Memória de Cálculo'!$B$45:$H$80,7,FALSE),VLOOKUP(AS12,'Memória de Cálculo'!$B$45:$H$80,7,FALSE)+VLOOKUP(AS13,'Memória de Cálculo'!$B$45:$H$80,7,FALSE)))</f>
        <v>5.5555555555555552E-2</v>
      </c>
      <c r="AT11" s="191">
        <f>IF(AT12=0,0,IF(AT13=0,VLOOKUP(AT12,'Memória de Cálculo'!$B$45:$H$80,7,FALSE),VLOOKUP(AT12,'Memória de Cálculo'!$B$45:$H$80,7,FALSE)+VLOOKUP(AT13,'Memória de Cálculo'!$B$45:$H$80,7,FALSE)))</f>
        <v>0</v>
      </c>
      <c r="AU11" s="191">
        <f>IF(AU12=0,0,IF(AU13=0,VLOOKUP(AU12,'Memória de Cálculo'!$B$45:$H$80,7,FALSE),VLOOKUP(AU12,'Memória de Cálculo'!$B$45:$H$80,7,FALSE)+VLOOKUP(AU13,'Memória de Cálculo'!$B$45:$H$80,7,FALSE)))</f>
        <v>0</v>
      </c>
      <c r="AV11" s="191">
        <f>IF(AV12=0,0,IF(AV13=0,VLOOKUP(AV12,'Memória de Cálculo'!$B$45:$H$80,7,FALSE),VLOOKUP(AV12,'Memória de Cálculo'!$B$45:$H$80,7,FALSE)+VLOOKUP(AV13,'Memória de Cálculo'!$B$45:$H$80,7,FALSE)))</f>
        <v>0</v>
      </c>
      <c r="AW11" s="191">
        <f>IF(AW12=0,0,IF(AW13=0,VLOOKUP(AW12,'Memória de Cálculo'!$B$45:$H$80,7,FALSE),VLOOKUP(AW12,'Memória de Cálculo'!$B$45:$H$80,7,FALSE)+VLOOKUP(AW13,'Memória de Cálculo'!$B$45:$H$80,7,FALSE)))</f>
        <v>0</v>
      </c>
      <c r="AX11" s="191">
        <f>IF(AX12=0,0,IF(AX13=0,VLOOKUP(AX12,'Memória de Cálculo'!$B$45:$H$80,7,FALSE),VLOOKUP(AX12,'Memória de Cálculo'!$B$45:$H$80,7,FALSE)+VLOOKUP(AX13,'Memória de Cálculo'!$B$45:$H$80,7,FALSE)))</f>
        <v>2.7777777777777776E-2</v>
      </c>
      <c r="AY11" s="191">
        <f>IF(AY12=0,0,IF(AY13=0,VLOOKUP(AY12,'Memória de Cálculo'!$B$45:$H$80,7,FALSE),VLOOKUP(AY12,'Memória de Cálculo'!$B$45:$H$80,7,FALSE)+VLOOKUP(AY13,'Memória de Cálculo'!$B$45:$H$80,7,FALSE)))</f>
        <v>0</v>
      </c>
      <c r="AZ11" s="191">
        <f>IF(AZ12=0,0,IF(AZ13=0,VLOOKUP(AZ12,'Memória de Cálculo'!$B$45:$H$80,7,FALSE),VLOOKUP(AZ12,'Memória de Cálculo'!$B$45:$H$80,7,FALSE)+VLOOKUP(AZ13,'Memória de Cálculo'!$B$45:$H$80,7,FALSE)))</f>
        <v>0</v>
      </c>
      <c r="BA11" s="191">
        <f>IF(BA12=0,0,IF(BA13=0,VLOOKUP(BA12,'Memória de Cálculo'!$B$45:$H$80,7,FALSE),VLOOKUP(BA12,'Memória de Cálculo'!$B$45:$H$80,7,FALSE)+VLOOKUP(BA13,'Memória de Cálculo'!$B$45:$H$80,7,FALSE)))</f>
        <v>2.7777777777777776E-2</v>
      </c>
      <c r="BB11" s="191">
        <f>IF(BB12=0,0,IF(BB13=0,VLOOKUP(BB12,'Memória de Cálculo'!$B$45:$H$80,7,FALSE),VLOOKUP(BB12,'Memória de Cálculo'!$B$45:$H$80,7,FALSE)+VLOOKUP(BB13,'Memória de Cálculo'!$B$45:$H$80,7,FALSE)))</f>
        <v>0</v>
      </c>
      <c r="BC11" s="191">
        <f>IF(BC12=0,0,IF(BC13=0,VLOOKUP(BC12,'Memória de Cálculo'!$B$45:$H$80,7,FALSE),VLOOKUP(BC12,'Memória de Cálculo'!$B$45:$H$80,7,FALSE)+VLOOKUP(BC13,'Memória de Cálculo'!$B$45:$H$80,7,FALSE)))</f>
        <v>2.7777777777777776E-2</v>
      </c>
      <c r="BD11" s="191">
        <f>IF(BD12=0,0,IF(BD13=0,VLOOKUP(BD12,'Memória de Cálculo'!$B$45:$H$80,7,FALSE),VLOOKUP(BD12,'Memória de Cálculo'!$B$45:$H$80,7,FALSE)+VLOOKUP(BD13,'Memória de Cálculo'!$B$45:$H$80,7,FALSE)))</f>
        <v>0</v>
      </c>
      <c r="BE11" s="191">
        <f>IF(BE12=0,0,IF(BE13=0,VLOOKUP(BE12,'Memória de Cálculo'!$B$45:$H$80,7,FALSE),VLOOKUP(BE12,'Memória de Cálculo'!$B$45:$H$80,7,FALSE)+VLOOKUP(BE13,'Memória de Cálculo'!$B$45:$H$80,7,FALSE)))</f>
        <v>2.7777777777777776E-2</v>
      </c>
      <c r="BF11" s="191">
        <f>IF(BF12=0,0,IF(BF13=0,VLOOKUP(BF12,'Memória de Cálculo'!$B$45:$H$80,7,FALSE),VLOOKUP(BF12,'Memória de Cálculo'!$B$45:$H$80,7,FALSE)+VLOOKUP(BF13,'Memória de Cálculo'!$B$45:$H$80,7,FALSE)))</f>
        <v>0</v>
      </c>
      <c r="BG11" s="191">
        <f>IF(BG12=0,0,IF(BG13=0,VLOOKUP(BG12,'Memória de Cálculo'!$B$45:$H$80,7,FALSE),VLOOKUP(BG12,'Memória de Cálculo'!$B$45:$H$80,7,FALSE)+VLOOKUP(BG13,'Memória de Cálculo'!$B$45:$H$80,7,FALSE)))</f>
        <v>2.7777777777777776E-2</v>
      </c>
      <c r="BH11" s="191">
        <f>IF(BH12=0,0,IF(BH13=0,VLOOKUP(BH12,'Memória de Cálculo'!$B$45:$H$80,7,FALSE),VLOOKUP(BH12,'Memória de Cálculo'!$B$45:$H$80,7,FALSE)+VLOOKUP(BH13,'Memória de Cálculo'!$B$45:$H$80,7,FALSE)))</f>
        <v>2.7777777777777776E-2</v>
      </c>
      <c r="BI11" s="191">
        <f>IF(BI12=0,0,IF(BI13=0,VLOOKUP(BI12,'Memória de Cálculo'!$B$45:$H$80,7,FALSE),VLOOKUP(BI12,'Memória de Cálculo'!$B$45:$H$80,7,FALSE)+VLOOKUP(BI13,'Memória de Cálculo'!$B$45:$H$80,7,FALSE)))</f>
        <v>0</v>
      </c>
      <c r="BJ11" s="191">
        <f>IF(BJ12=0,0,IF(BJ13=0,VLOOKUP(BJ12,'Memória de Cálculo'!$B$45:$H$80,7,FALSE),VLOOKUP(BJ12,'Memória de Cálculo'!$B$45:$H$80,7,FALSE)+VLOOKUP(BJ13,'Memória de Cálculo'!$B$45:$H$80,7,FALSE)))</f>
        <v>0</v>
      </c>
      <c r="BK11" s="191">
        <f>IF(BK12=0,0,IF(BK13=0,VLOOKUP(BK12,'Memória de Cálculo'!$B$45:$H$80,7,FALSE),VLOOKUP(BK12,'Memória de Cálculo'!$B$45:$H$80,7,FALSE)+VLOOKUP(BK13,'Memória de Cálculo'!$B$45:$H$80,7,FALSE)))</f>
        <v>0</v>
      </c>
      <c r="BL11" s="191">
        <f>IF(BL12=0,0,IF(BL13=0,VLOOKUP(BL12,'Memória de Cálculo'!$B$45:$H$80,7,FALSE),VLOOKUP(BL12,'Memória de Cálculo'!$B$45:$H$80,7,FALSE)+VLOOKUP(BL13,'Memória de Cálculo'!$B$45:$H$80,7,FALSE)))</f>
        <v>0</v>
      </c>
      <c r="BM11" s="189"/>
    </row>
    <row r="12" spans="1:68" s="190" customFormat="1" ht="24.9" hidden="1" customHeight="1" x14ac:dyDescent="0.25">
      <c r="A12" s="381"/>
      <c r="B12" s="384"/>
      <c r="C12" s="378" t="s">
        <v>861</v>
      </c>
      <c r="D12" s="387"/>
      <c r="E12" s="348">
        <f>E8</f>
        <v>0</v>
      </c>
      <c r="F12" s="348">
        <f t="shared" ref="F12:BJ12" si="3">F8</f>
        <v>0</v>
      </c>
      <c r="G12" s="348" t="str">
        <f t="shared" si="3"/>
        <v>Nossa Senhora Aparecida - R02</v>
      </c>
      <c r="H12" s="348" t="str">
        <f t="shared" si="3"/>
        <v>Nossa Senhora Aparecida - R01</v>
      </c>
      <c r="I12" s="348">
        <f t="shared" si="3"/>
        <v>0</v>
      </c>
      <c r="J12" s="348" t="str">
        <f t="shared" si="3"/>
        <v>São Pedro</v>
      </c>
      <c r="K12" s="348" t="str">
        <f t="shared" si="3"/>
        <v>São Braz</v>
      </c>
      <c r="L12" s="348">
        <f t="shared" si="3"/>
        <v>0</v>
      </c>
      <c r="M12" s="348" t="str">
        <f t="shared" si="3"/>
        <v>São Marcos</v>
      </c>
      <c r="N12" s="348">
        <f t="shared" si="3"/>
        <v>0</v>
      </c>
      <c r="O12" s="348">
        <f t="shared" si="3"/>
        <v>0</v>
      </c>
      <c r="P12" s="348" t="str">
        <f t="shared" si="3"/>
        <v>Maria das Graças</v>
      </c>
      <c r="Q12" s="348" t="str">
        <f t="shared" si="3"/>
        <v>Santos Dumont / Aeroporto</v>
      </c>
      <c r="R12" s="348">
        <f t="shared" si="3"/>
        <v>0</v>
      </c>
      <c r="S12" s="348">
        <f t="shared" si="3"/>
        <v>0</v>
      </c>
      <c r="T12" s="348">
        <f t="shared" si="3"/>
        <v>0</v>
      </c>
      <c r="U12" s="348" t="str">
        <f t="shared" si="3"/>
        <v>Novo Horizonte</v>
      </c>
      <c r="V12" s="348" t="str">
        <f t="shared" si="3"/>
        <v>Honório Fraga</v>
      </c>
      <c r="W12" s="348">
        <f t="shared" si="3"/>
        <v>0</v>
      </c>
      <c r="X12" s="348" t="str">
        <f t="shared" si="3"/>
        <v>Santo Antônio</v>
      </c>
      <c r="Y12" s="348">
        <f t="shared" si="3"/>
        <v>0</v>
      </c>
      <c r="Z12" s="348">
        <f t="shared" si="3"/>
        <v>0</v>
      </c>
      <c r="AA12" s="348" t="str">
        <f t="shared" si="3"/>
        <v>Vila Amélia</v>
      </c>
      <c r="AB12" s="348" t="str">
        <f t="shared" si="3"/>
        <v>Vila Real</v>
      </c>
      <c r="AC12" s="348">
        <f t="shared" si="3"/>
        <v>0</v>
      </c>
      <c r="AD12" s="348" t="str">
        <f t="shared" si="3"/>
        <v>Fioravante Marino</v>
      </c>
      <c r="AE12" s="348">
        <f t="shared" si="3"/>
        <v>0</v>
      </c>
      <c r="AF12" s="348" t="str">
        <f t="shared" si="3"/>
        <v>Vista Linda I</v>
      </c>
      <c r="AG12" s="348" t="str">
        <f t="shared" si="3"/>
        <v>Morro Azul</v>
      </c>
      <c r="AH12" s="348" t="str">
        <f t="shared" si="3"/>
        <v>Industrial Alves Marques</v>
      </c>
      <c r="AI12" s="348" t="str">
        <f t="shared" si="3"/>
        <v>Quinze de Outubro - Gleba 02</v>
      </c>
      <c r="AJ12" s="348" t="str">
        <f t="shared" si="3"/>
        <v>Quinze de Outubro - Gleba 03</v>
      </c>
      <c r="AK12" s="348" t="str">
        <f t="shared" si="3"/>
        <v>Gordiano Guimarães</v>
      </c>
      <c r="AL12" s="348">
        <f t="shared" si="3"/>
        <v>0</v>
      </c>
      <c r="AM12" s="348" t="str">
        <f t="shared" si="3"/>
        <v>Paul da Graça Aranha</v>
      </c>
      <c r="AN12" s="348" t="str">
        <f t="shared" si="3"/>
        <v>Robson Eli Terezani</v>
      </c>
      <c r="AO12" s="348">
        <f t="shared" si="3"/>
        <v>0</v>
      </c>
      <c r="AP12" s="348" t="str">
        <f t="shared" si="3"/>
        <v>Av. Costa Rica x Rio de Janeiro</v>
      </c>
      <c r="AQ12" s="348" t="str">
        <f t="shared" si="3"/>
        <v>Lacê</v>
      </c>
      <c r="AR12" s="348">
        <f t="shared" si="3"/>
        <v>0</v>
      </c>
      <c r="AS12" s="348" t="str">
        <f t="shared" si="3"/>
        <v>São Vicente</v>
      </c>
      <c r="AT12" s="348">
        <f t="shared" si="3"/>
        <v>0</v>
      </c>
      <c r="AU12" s="348">
        <f t="shared" si="3"/>
        <v>0</v>
      </c>
      <c r="AV12" s="348">
        <f t="shared" si="3"/>
        <v>0</v>
      </c>
      <c r="AW12" s="348">
        <f t="shared" si="3"/>
        <v>0</v>
      </c>
      <c r="AX12" s="348" t="str">
        <f t="shared" si="3"/>
        <v>Bela Vista</v>
      </c>
      <c r="AY12" s="348">
        <f t="shared" si="3"/>
        <v>0</v>
      </c>
      <c r="AZ12" s="348">
        <f t="shared" si="3"/>
        <v>0</v>
      </c>
      <c r="BA12" s="348" t="str">
        <f t="shared" si="3"/>
        <v>Colatina Velha</v>
      </c>
      <c r="BB12" s="348">
        <f t="shared" si="3"/>
        <v>0</v>
      </c>
      <c r="BC12" s="348" t="str">
        <f t="shared" si="3"/>
        <v>Vila Lenira</v>
      </c>
      <c r="BD12" s="348">
        <f t="shared" si="3"/>
        <v>0</v>
      </c>
      <c r="BE12" s="348" t="str">
        <f t="shared" ref="BE12:BH12" si="4">BE8</f>
        <v>Alto Vila Nova</v>
      </c>
      <c r="BF12" s="348">
        <f t="shared" si="4"/>
        <v>0</v>
      </c>
      <c r="BG12" s="348" t="str">
        <f t="shared" si="4"/>
        <v>Olívio Zanotelli</v>
      </c>
      <c r="BH12" s="348" t="str">
        <f t="shared" si="4"/>
        <v>Boapaba</v>
      </c>
      <c r="BI12" s="348">
        <f t="shared" si="3"/>
        <v>0</v>
      </c>
      <c r="BJ12" s="348">
        <f t="shared" si="3"/>
        <v>0</v>
      </c>
      <c r="BK12" s="348">
        <f t="shared" ref="BK12:BL12" si="5">BK8</f>
        <v>0</v>
      </c>
      <c r="BL12" s="348">
        <f t="shared" si="5"/>
        <v>0</v>
      </c>
      <c r="BM12" s="189"/>
    </row>
    <row r="13" spans="1:68" s="190" customFormat="1" ht="24.9" hidden="1" customHeight="1" x14ac:dyDescent="0.25">
      <c r="A13" s="381"/>
      <c r="B13" s="384"/>
      <c r="C13" s="379"/>
      <c r="D13" s="387"/>
      <c r="E13" s="337">
        <f>E9</f>
        <v>0</v>
      </c>
      <c r="F13" s="337">
        <f t="shared" ref="F13:BJ13" si="6">F9</f>
        <v>0</v>
      </c>
      <c r="G13" s="337">
        <f t="shared" si="6"/>
        <v>0</v>
      </c>
      <c r="H13" s="337">
        <f t="shared" si="6"/>
        <v>0</v>
      </c>
      <c r="I13" s="337">
        <f t="shared" si="6"/>
        <v>0</v>
      </c>
      <c r="J13" s="337">
        <f t="shared" si="6"/>
        <v>0</v>
      </c>
      <c r="K13" s="337">
        <f t="shared" si="6"/>
        <v>0</v>
      </c>
      <c r="L13" s="337">
        <f t="shared" si="6"/>
        <v>0</v>
      </c>
      <c r="M13" s="337">
        <f t="shared" si="6"/>
        <v>0</v>
      </c>
      <c r="N13" s="337">
        <f t="shared" si="6"/>
        <v>0</v>
      </c>
      <c r="O13" s="337">
        <f t="shared" si="6"/>
        <v>0</v>
      </c>
      <c r="P13" s="337">
        <f t="shared" si="6"/>
        <v>0</v>
      </c>
      <c r="Q13" s="337">
        <f t="shared" si="6"/>
        <v>0</v>
      </c>
      <c r="R13" s="337">
        <f t="shared" si="6"/>
        <v>0</v>
      </c>
      <c r="S13" s="337">
        <f t="shared" si="6"/>
        <v>0</v>
      </c>
      <c r="T13" s="337">
        <f t="shared" si="6"/>
        <v>0</v>
      </c>
      <c r="U13" s="337">
        <f t="shared" si="6"/>
        <v>0</v>
      </c>
      <c r="V13" s="337" t="str">
        <f t="shared" si="6"/>
        <v>R. Frederico Botan x João Tinelli (Honório Fraga)</v>
      </c>
      <c r="W13" s="337">
        <f t="shared" si="6"/>
        <v>0</v>
      </c>
      <c r="X13" s="337">
        <f t="shared" si="6"/>
        <v>0</v>
      </c>
      <c r="Y13" s="337">
        <f t="shared" si="6"/>
        <v>0</v>
      </c>
      <c r="Z13" s="337">
        <f t="shared" si="6"/>
        <v>0</v>
      </c>
      <c r="AA13" s="337">
        <f t="shared" si="6"/>
        <v>0</v>
      </c>
      <c r="AB13" s="337">
        <f t="shared" si="6"/>
        <v>0</v>
      </c>
      <c r="AC13" s="337">
        <f t="shared" si="6"/>
        <v>0</v>
      </c>
      <c r="AD13" s="337">
        <f t="shared" si="6"/>
        <v>0</v>
      </c>
      <c r="AE13" s="337">
        <f t="shared" si="6"/>
        <v>0</v>
      </c>
      <c r="AF13" s="337" t="str">
        <f t="shared" si="6"/>
        <v>Vista Linda II</v>
      </c>
      <c r="AG13" s="337">
        <f t="shared" si="6"/>
        <v>0</v>
      </c>
      <c r="AH13" s="337" t="str">
        <f t="shared" si="6"/>
        <v>Quinze de Outubro - Gleba 01</v>
      </c>
      <c r="AI13" s="337">
        <f t="shared" si="6"/>
        <v>0</v>
      </c>
      <c r="AJ13" s="337">
        <f t="shared" si="6"/>
        <v>0</v>
      </c>
      <c r="AK13" s="337" t="str">
        <f t="shared" si="6"/>
        <v>Reta Grande</v>
      </c>
      <c r="AL13" s="337">
        <f t="shared" si="6"/>
        <v>0</v>
      </c>
      <c r="AM13" s="337">
        <f t="shared" si="6"/>
        <v>0</v>
      </c>
      <c r="AN13" s="337">
        <f t="shared" si="6"/>
        <v>0</v>
      </c>
      <c r="AO13" s="337">
        <f t="shared" si="6"/>
        <v>0</v>
      </c>
      <c r="AP13" s="337" t="str">
        <f t="shared" si="6"/>
        <v>Itapina</v>
      </c>
      <c r="AQ13" s="337">
        <f t="shared" si="6"/>
        <v>0</v>
      </c>
      <c r="AR13" s="337">
        <f t="shared" si="6"/>
        <v>0</v>
      </c>
      <c r="AS13" s="337" t="str">
        <f t="shared" si="6"/>
        <v>São Judas Tadeu</v>
      </c>
      <c r="AT13" s="337">
        <f t="shared" si="6"/>
        <v>0</v>
      </c>
      <c r="AU13" s="337">
        <f t="shared" si="6"/>
        <v>0</v>
      </c>
      <c r="AV13" s="337">
        <f t="shared" si="6"/>
        <v>0</v>
      </c>
      <c r="AW13" s="337">
        <f t="shared" si="6"/>
        <v>0</v>
      </c>
      <c r="AX13" s="337">
        <f t="shared" si="6"/>
        <v>0</v>
      </c>
      <c r="AY13" s="337">
        <f t="shared" si="6"/>
        <v>0</v>
      </c>
      <c r="AZ13" s="337">
        <f t="shared" si="6"/>
        <v>0</v>
      </c>
      <c r="BA13" s="337">
        <f t="shared" si="6"/>
        <v>0</v>
      </c>
      <c r="BB13" s="337">
        <f t="shared" si="6"/>
        <v>0</v>
      </c>
      <c r="BC13" s="337">
        <f t="shared" si="6"/>
        <v>0</v>
      </c>
      <c r="BD13" s="337">
        <f t="shared" si="6"/>
        <v>0</v>
      </c>
      <c r="BE13" s="337">
        <f t="shared" ref="BE13:BH13" si="7">BE9</f>
        <v>0</v>
      </c>
      <c r="BF13" s="337">
        <f t="shared" si="7"/>
        <v>0</v>
      </c>
      <c r="BG13" s="337">
        <f t="shared" si="7"/>
        <v>0</v>
      </c>
      <c r="BH13" s="337">
        <f t="shared" si="7"/>
        <v>0</v>
      </c>
      <c r="BI13" s="337">
        <f t="shared" si="6"/>
        <v>0</v>
      </c>
      <c r="BJ13" s="337">
        <f t="shared" si="6"/>
        <v>0</v>
      </c>
      <c r="BK13" s="337">
        <f t="shared" ref="BK13:BL13" si="8">BK9</f>
        <v>0</v>
      </c>
      <c r="BL13" s="337">
        <f t="shared" si="8"/>
        <v>0</v>
      </c>
      <c r="BM13" s="189"/>
    </row>
    <row r="14" spans="1:68" s="100" customFormat="1" ht="24.9" customHeight="1" x14ac:dyDescent="0.25">
      <c r="A14" s="382"/>
      <c r="B14" s="385"/>
      <c r="C14" s="334" t="s">
        <v>14</v>
      </c>
      <c r="D14" s="388"/>
      <c r="E14" s="343">
        <f>E11*$D$11</f>
        <v>0</v>
      </c>
      <c r="F14" s="343">
        <f t="shared" ref="F14:BJ14" si="9">F11*$D$11</f>
        <v>0</v>
      </c>
      <c r="G14" s="343">
        <f t="shared" si="9"/>
        <v>0</v>
      </c>
      <c r="H14" s="343">
        <f t="shared" si="9"/>
        <v>0</v>
      </c>
      <c r="I14" s="343">
        <f t="shared" si="9"/>
        <v>0</v>
      </c>
      <c r="J14" s="343">
        <f t="shared" si="9"/>
        <v>0</v>
      </c>
      <c r="K14" s="343">
        <f t="shared" si="9"/>
        <v>0</v>
      </c>
      <c r="L14" s="343">
        <f t="shared" si="9"/>
        <v>0</v>
      </c>
      <c r="M14" s="343">
        <f t="shared" si="9"/>
        <v>0</v>
      </c>
      <c r="N14" s="343">
        <f t="shared" si="9"/>
        <v>0</v>
      </c>
      <c r="O14" s="343">
        <f t="shared" si="9"/>
        <v>0</v>
      </c>
      <c r="P14" s="343">
        <f>P11*$D$11</f>
        <v>0</v>
      </c>
      <c r="Q14" s="343">
        <f>Q11*$D$11</f>
        <v>0</v>
      </c>
      <c r="R14" s="343">
        <f t="shared" ref="R14:AA14" si="10">R11*$D$11</f>
        <v>0</v>
      </c>
      <c r="S14" s="343">
        <f t="shared" si="10"/>
        <v>0</v>
      </c>
      <c r="T14" s="343">
        <f t="shared" si="10"/>
        <v>0</v>
      </c>
      <c r="U14" s="343">
        <f t="shared" si="10"/>
        <v>0</v>
      </c>
      <c r="V14" s="343">
        <f t="shared" si="10"/>
        <v>0</v>
      </c>
      <c r="W14" s="343">
        <f t="shared" si="10"/>
        <v>0</v>
      </c>
      <c r="X14" s="343">
        <f t="shared" si="10"/>
        <v>0</v>
      </c>
      <c r="Y14" s="343">
        <f t="shared" si="10"/>
        <v>0</v>
      </c>
      <c r="Z14" s="343">
        <f t="shared" si="10"/>
        <v>0</v>
      </c>
      <c r="AA14" s="343">
        <f t="shared" si="10"/>
        <v>0</v>
      </c>
      <c r="AB14" s="343">
        <f>AB11*$D$11</f>
        <v>0</v>
      </c>
      <c r="AC14" s="343">
        <f>AC11*$D$11</f>
        <v>0</v>
      </c>
      <c r="AD14" s="343">
        <f t="shared" ref="AD14:AM14" si="11">AD11*$D$11</f>
        <v>0</v>
      </c>
      <c r="AE14" s="343">
        <f t="shared" si="11"/>
        <v>0</v>
      </c>
      <c r="AF14" s="343">
        <f t="shared" si="11"/>
        <v>0</v>
      </c>
      <c r="AG14" s="343">
        <f t="shared" si="11"/>
        <v>0</v>
      </c>
      <c r="AH14" s="343">
        <f t="shared" si="11"/>
        <v>0</v>
      </c>
      <c r="AI14" s="343">
        <f t="shared" si="11"/>
        <v>0</v>
      </c>
      <c r="AJ14" s="343">
        <f t="shared" si="11"/>
        <v>0</v>
      </c>
      <c r="AK14" s="343">
        <f t="shared" si="11"/>
        <v>0</v>
      </c>
      <c r="AL14" s="343">
        <f t="shared" si="11"/>
        <v>0</v>
      </c>
      <c r="AM14" s="343">
        <f t="shared" si="11"/>
        <v>0</v>
      </c>
      <c r="AN14" s="343">
        <f>AN11*$D$11</f>
        <v>0</v>
      </c>
      <c r="AO14" s="343">
        <f>AO11*$D$11</f>
        <v>0</v>
      </c>
      <c r="AP14" s="343">
        <f t="shared" ref="AP14:AY14" si="12">AP11*$D$11</f>
        <v>0</v>
      </c>
      <c r="AQ14" s="343">
        <f t="shared" si="12"/>
        <v>0</v>
      </c>
      <c r="AR14" s="343">
        <f t="shared" si="12"/>
        <v>0</v>
      </c>
      <c r="AS14" s="343">
        <f t="shared" si="12"/>
        <v>0</v>
      </c>
      <c r="AT14" s="343">
        <f t="shared" si="12"/>
        <v>0</v>
      </c>
      <c r="AU14" s="343">
        <f t="shared" si="12"/>
        <v>0</v>
      </c>
      <c r="AV14" s="343">
        <f t="shared" si="12"/>
        <v>0</v>
      </c>
      <c r="AW14" s="343">
        <f t="shared" si="12"/>
        <v>0</v>
      </c>
      <c r="AX14" s="343">
        <f t="shared" si="12"/>
        <v>0</v>
      </c>
      <c r="AY14" s="343">
        <f t="shared" si="12"/>
        <v>0</v>
      </c>
      <c r="AZ14" s="343">
        <f t="shared" si="9"/>
        <v>0</v>
      </c>
      <c r="BA14" s="343">
        <f t="shared" si="9"/>
        <v>0</v>
      </c>
      <c r="BB14" s="343">
        <f t="shared" si="9"/>
        <v>0</v>
      </c>
      <c r="BC14" s="343">
        <f t="shared" si="9"/>
        <v>0</v>
      </c>
      <c r="BD14" s="343">
        <f t="shared" si="9"/>
        <v>0</v>
      </c>
      <c r="BE14" s="343">
        <f t="shared" ref="BE14:BH14" si="13">BE11*$D$11</f>
        <v>0</v>
      </c>
      <c r="BF14" s="343">
        <f t="shared" si="13"/>
        <v>0</v>
      </c>
      <c r="BG14" s="343">
        <f t="shared" si="13"/>
        <v>0</v>
      </c>
      <c r="BH14" s="343">
        <f t="shared" si="13"/>
        <v>0</v>
      </c>
      <c r="BI14" s="343">
        <f t="shared" si="9"/>
        <v>0</v>
      </c>
      <c r="BJ14" s="343">
        <f t="shared" si="9"/>
        <v>0</v>
      </c>
      <c r="BK14" s="343">
        <f t="shared" ref="BK14:BL14" si="14">BK11*$D$11</f>
        <v>0</v>
      </c>
      <c r="BL14" s="343">
        <f t="shared" si="14"/>
        <v>0</v>
      </c>
      <c r="BM14" s="344"/>
      <c r="BN14" s="100">
        <f>SUM(E14:BL14)</f>
        <v>0</v>
      </c>
      <c r="BO14" s="100">
        <f>BN14-D11</f>
        <v>0</v>
      </c>
    </row>
    <row r="15" spans="1:68" s="190" customFormat="1" ht="24.9" customHeight="1" x14ac:dyDescent="0.25">
      <c r="A15" s="380" t="s">
        <v>21</v>
      </c>
      <c r="B15" s="383" t="str">
        <f>'Planilha Orçamentária'!D8</f>
        <v>Mobilização Comunitária - Apresentação do Projeto Urbanístico</v>
      </c>
      <c r="C15" s="188" t="s">
        <v>13</v>
      </c>
      <c r="D15" s="386">
        <f>'Planilha Orçamentária'!I8</f>
        <v>0</v>
      </c>
      <c r="E15" s="191">
        <f>IF(E16=0,0,IF(E17=0,VLOOKUP(E16,'Memória de Cálculo'!$B$84:$H$119,7,FALSE),VLOOKUP(E16,'Memória de Cálculo'!$B$84:$H$119,7,FALSE)+VLOOKUP(E17,'Memória de Cálculo'!$B$84:$H$119,7,FALSE)))</f>
        <v>0</v>
      </c>
      <c r="F15" s="191">
        <f>IF(F16=0,0,IF(F17=0,VLOOKUP(F16,'Memória de Cálculo'!$B$84:$H$119,7,FALSE),VLOOKUP(F16,'Memória de Cálculo'!$B$84:$H$119,7,FALSE)+VLOOKUP(F17,'Memória de Cálculo'!$B$84:$H$119,7,FALSE)))</f>
        <v>0</v>
      </c>
      <c r="G15" s="191">
        <f>IF(G16=0,0,IF(G17=0,VLOOKUP(G16,'Memória de Cálculo'!$B$84:$H$119,7,FALSE),VLOOKUP(G16,'Memória de Cálculo'!$B$84:$H$119,7,FALSE)+VLOOKUP(G17,'Memória de Cálculo'!$B$84:$H$119,7,FALSE)))</f>
        <v>0</v>
      </c>
      <c r="H15" s="191">
        <f>IF(H16=0,0,IF(H17=0,VLOOKUP(H16,'Memória de Cálculo'!$B$84:$H$119,7,FALSE),VLOOKUP(H16,'Memória de Cálculo'!$B$84:$H$119,7,FALSE)+VLOOKUP(H17,'Memória de Cálculo'!$B$84:$H$119,7,FALSE)))</f>
        <v>0</v>
      </c>
      <c r="I15" s="191">
        <f>IF(I16=0,0,IF(I17=0,VLOOKUP(I16,'Memória de Cálculo'!$B$84:$H$119,7,FALSE),VLOOKUP(I16,'Memória de Cálculo'!$B$84:$H$119,7,FALSE)+VLOOKUP(I17,'Memória de Cálculo'!$B$84:$H$119,7,FALSE)))</f>
        <v>0</v>
      </c>
      <c r="J15" s="191">
        <f>IF(J16=0,0,IF(J17=0,VLOOKUP(J16,'Memória de Cálculo'!$B$84:$H$119,7,FALSE),VLOOKUP(J16,'Memória de Cálculo'!$B$84:$H$119,7,FALSE)+VLOOKUP(J17,'Memória de Cálculo'!$B$84:$H$119,7,FALSE)))</f>
        <v>0</v>
      </c>
      <c r="K15" s="191">
        <f>IF(K16=0,0,IF(K17=0,VLOOKUP(K16,'Memória de Cálculo'!$B$84:$H$119,7,FALSE),VLOOKUP(K16,'Memória de Cálculo'!$B$84:$H$119,7,FALSE)+VLOOKUP(K17,'Memória de Cálculo'!$B$84:$H$119,7,FALSE)))</f>
        <v>0</v>
      </c>
      <c r="L15" s="191">
        <f>IF(L16=0,0,IF(L17=0,VLOOKUP(L16,'Memória de Cálculo'!$B$84:$H$119,7,FALSE),VLOOKUP(L16,'Memória de Cálculo'!$B$84:$H$119,7,FALSE)+VLOOKUP(L17,'Memória de Cálculo'!$B$84:$H$119,7,FALSE)))</f>
        <v>2.7777777777777776E-2</v>
      </c>
      <c r="M15" s="191">
        <f>IF(M16=0,0,IF(M17=0,VLOOKUP(M16,'Memória de Cálculo'!$B$84:$H$119,7,FALSE),VLOOKUP(M16,'Memória de Cálculo'!$B$84:$H$119,7,FALSE)+VLOOKUP(M17,'Memória de Cálculo'!$B$84:$H$119,7,FALSE)))</f>
        <v>0</v>
      </c>
      <c r="N15" s="191">
        <f>IF(N16=0,0,IF(N17=0,VLOOKUP(N16,'Memória de Cálculo'!$B$84:$H$119,7,FALSE),VLOOKUP(N16,'Memória de Cálculo'!$B$84:$H$119,7,FALSE)+VLOOKUP(N17,'Memória de Cálculo'!$B$84:$H$119,7,FALSE)))</f>
        <v>5.5555555555555552E-2</v>
      </c>
      <c r="O15" s="191">
        <f>IF(O16=0,0,IF(O17=0,VLOOKUP(O16,'Memória de Cálculo'!$B$84:$H$119,7,FALSE),VLOOKUP(O16,'Memória de Cálculo'!$B$84:$H$119,7,FALSE)+VLOOKUP(O17,'Memória de Cálculo'!$B$84:$H$119,7,FALSE)))</f>
        <v>0</v>
      </c>
      <c r="P15" s="191">
        <f>IF(P16=0,0,IF(P17=0,VLOOKUP(P16,'Memória de Cálculo'!$B$84:$H$119,7,FALSE),VLOOKUP(P16,'Memória de Cálculo'!$B$84:$H$119,7,FALSE)+VLOOKUP(P17,'Memória de Cálculo'!$B$84:$H$119,7,FALSE)))</f>
        <v>0</v>
      </c>
      <c r="Q15" s="191">
        <f>IF(Q16=0,0,IF(Q17=0,VLOOKUP(Q16,'Memória de Cálculo'!$B$84:$H$119,7,FALSE),VLOOKUP(Q16,'Memória de Cálculo'!$B$84:$H$119,7,FALSE)+VLOOKUP(Q17,'Memória de Cálculo'!$B$84:$H$119,7,FALSE)))</f>
        <v>0</v>
      </c>
      <c r="R15" s="191">
        <f>IF(R16=0,0,IF(R17=0,VLOOKUP(R16,'Memória de Cálculo'!$B$84:$H$119,7,FALSE),VLOOKUP(R16,'Memória de Cálculo'!$B$84:$H$119,7,FALSE)+VLOOKUP(R17,'Memória de Cálculo'!$B$84:$H$119,7,FALSE)))</f>
        <v>0</v>
      </c>
      <c r="S15" s="191">
        <f>IF(S16=0,0,IF(S17=0,VLOOKUP(S16,'Memória de Cálculo'!$B$84:$H$119,7,FALSE),VLOOKUP(S16,'Memória de Cálculo'!$B$84:$H$119,7,FALSE)+VLOOKUP(S17,'Memória de Cálculo'!$B$84:$H$119,7,FALSE)))</f>
        <v>5.5555555555555552E-2</v>
      </c>
      <c r="T15" s="191">
        <f>IF(T16=0,0,IF(T17=0,VLOOKUP(T16,'Memória de Cálculo'!$B$84:$H$119,7,FALSE),VLOOKUP(T16,'Memória de Cálculo'!$B$84:$H$119,7,FALSE)+VLOOKUP(T17,'Memória de Cálculo'!$B$84:$H$119,7,FALSE)))</f>
        <v>0</v>
      </c>
      <c r="U15" s="191">
        <f>IF(U16=0,0,IF(U17=0,VLOOKUP(U16,'Memória de Cálculo'!$B$84:$H$119,7,FALSE),VLOOKUP(U16,'Memória de Cálculo'!$B$84:$H$119,7,FALSE)+VLOOKUP(U17,'Memória de Cálculo'!$B$84:$H$119,7,FALSE)))</f>
        <v>0</v>
      </c>
      <c r="V15" s="191">
        <f>IF(V16=0,0,IF(V17=0,VLOOKUP(V16,'Memória de Cálculo'!$B$84:$H$119,7,FALSE),VLOOKUP(V16,'Memória de Cálculo'!$B$84:$H$119,7,FALSE)+VLOOKUP(V17,'Memória de Cálculo'!$B$84:$H$119,7,FALSE)))</f>
        <v>0</v>
      </c>
      <c r="W15" s="191">
        <f>IF(W16=0,0,IF(W17=0,VLOOKUP(W16,'Memória de Cálculo'!$B$84:$H$119,7,FALSE),VLOOKUP(W16,'Memória de Cálculo'!$B$84:$H$119,7,FALSE)+VLOOKUP(W17,'Memória de Cálculo'!$B$84:$H$119,7,FALSE)))</f>
        <v>0</v>
      </c>
      <c r="X15" s="191">
        <f>IF(X16=0,0,IF(X17=0,VLOOKUP(X16,'Memória de Cálculo'!$B$84:$H$119,7,FALSE),VLOOKUP(X16,'Memória de Cálculo'!$B$84:$H$119,7,FALSE)+VLOOKUP(X17,'Memória de Cálculo'!$B$84:$H$119,7,FALSE)))</f>
        <v>2.7777777777777776E-2</v>
      </c>
      <c r="Y15" s="191">
        <f>IF(Y16=0,0,IF(Y17=0,VLOOKUP(Y16,'Memória de Cálculo'!$B$84:$H$119,7,FALSE),VLOOKUP(Y16,'Memória de Cálculo'!$B$84:$H$119,7,FALSE)+VLOOKUP(Y17,'Memória de Cálculo'!$B$84:$H$119,7,FALSE)))</f>
        <v>5.5555555555555552E-2</v>
      </c>
      <c r="Z15" s="191">
        <f>IF(Z16=0,0,IF(Z17=0,VLOOKUP(Z16,'Memória de Cálculo'!$B$84:$H$119,7,FALSE),VLOOKUP(Z16,'Memória de Cálculo'!$B$84:$H$119,7,FALSE)+VLOOKUP(Z17,'Memória de Cálculo'!$B$84:$H$119,7,FALSE)))</f>
        <v>2.7777777777777776E-2</v>
      </c>
      <c r="AA15" s="191">
        <f>IF(AA16=0,0,IF(AA17=0,VLOOKUP(AA16,'Memória de Cálculo'!$B$84:$H$119,7,FALSE),VLOOKUP(AA16,'Memória de Cálculo'!$B$84:$H$119,7,FALSE)+VLOOKUP(AA17,'Memória de Cálculo'!$B$84:$H$119,7,FALSE)))</f>
        <v>0</v>
      </c>
      <c r="AB15" s="191">
        <f>IF(AB16=0,0,IF(AB17=0,VLOOKUP(AB16,'Memória de Cálculo'!$B$84:$H$119,7,FALSE),VLOOKUP(AB16,'Memória de Cálculo'!$B$84:$H$119,7,FALSE)+VLOOKUP(AB17,'Memória de Cálculo'!$B$84:$H$119,7,FALSE)))</f>
        <v>0</v>
      </c>
      <c r="AC15" s="191">
        <f>IF(AC16=0,0,IF(AC17=0,VLOOKUP(AC16,'Memória de Cálculo'!$B$84:$H$119,7,FALSE),VLOOKUP(AC16,'Memória de Cálculo'!$B$84:$H$119,7,FALSE)+VLOOKUP(AC17,'Memória de Cálculo'!$B$84:$H$119,7,FALSE)))</f>
        <v>2.7777777777777776E-2</v>
      </c>
      <c r="AD15" s="191">
        <f>IF(AD16=0,0,IF(AD17=0,VLOOKUP(AD16,'Memória de Cálculo'!$B$84:$H$119,7,FALSE),VLOOKUP(AD16,'Memória de Cálculo'!$B$84:$H$119,7,FALSE)+VLOOKUP(AD17,'Memória de Cálculo'!$B$84:$H$119,7,FALSE)))</f>
        <v>2.7777777777777776E-2</v>
      </c>
      <c r="AE15" s="191">
        <f>IF(AE16=0,0,IF(AE17=0,VLOOKUP(AE16,'Memória de Cálculo'!$B$84:$H$119,7,FALSE),VLOOKUP(AE16,'Memória de Cálculo'!$B$84:$H$119,7,FALSE)+VLOOKUP(AE17,'Memória de Cálculo'!$B$84:$H$119,7,FALSE)))</f>
        <v>2.7777777777777776E-2</v>
      </c>
      <c r="AF15" s="191">
        <f>IF(AF16=0,0,IF(AF17=0,VLOOKUP(AF16,'Memória de Cálculo'!$B$84:$H$119,7,FALSE),VLOOKUP(AF16,'Memória de Cálculo'!$B$84:$H$119,7,FALSE)+VLOOKUP(AF17,'Memória de Cálculo'!$B$84:$H$119,7,FALSE)))</f>
        <v>0</v>
      </c>
      <c r="AG15" s="191">
        <f>IF(AG16=0,0,IF(AG17=0,VLOOKUP(AG16,'Memória de Cálculo'!$B$84:$H$119,7,FALSE),VLOOKUP(AG16,'Memória de Cálculo'!$B$84:$H$119,7,FALSE)+VLOOKUP(AG17,'Memória de Cálculo'!$B$84:$H$119,7,FALSE)))</f>
        <v>2.7777777777777776E-2</v>
      </c>
      <c r="AH15" s="191">
        <f>IF(AH16=0,0,IF(AH17=0,VLOOKUP(AH16,'Memória de Cálculo'!$B$84:$H$119,7,FALSE),VLOOKUP(AH16,'Memória de Cálculo'!$B$84:$H$119,7,FALSE)+VLOOKUP(AH17,'Memória de Cálculo'!$B$84:$H$119,7,FALSE)))</f>
        <v>5.5555555555555552E-2</v>
      </c>
      <c r="AI15" s="191">
        <f>IF(AI16=0,0,IF(AI17=0,VLOOKUP(AI16,'Memória de Cálculo'!$B$84:$H$119,7,FALSE),VLOOKUP(AI16,'Memória de Cálculo'!$B$84:$H$119,7,FALSE)+VLOOKUP(AI17,'Memória de Cálculo'!$B$84:$H$119,7,FALSE)))</f>
        <v>5.5555555555555552E-2</v>
      </c>
      <c r="AJ15" s="191">
        <f>IF(AJ16=0,0,IF(AJ17=0,VLOOKUP(AJ16,'Memória de Cálculo'!$B$84:$H$119,7,FALSE),VLOOKUP(AJ16,'Memória de Cálculo'!$B$84:$H$119,7,FALSE)+VLOOKUP(AJ17,'Memória de Cálculo'!$B$84:$H$119,7,FALSE)))</f>
        <v>2.7777777777777776E-2</v>
      </c>
      <c r="AK15" s="191">
        <f>IF(AK16=0,0,IF(AK17=0,VLOOKUP(AK16,'Memória de Cálculo'!$B$84:$H$119,7,FALSE),VLOOKUP(AK16,'Memória de Cálculo'!$B$84:$H$119,7,FALSE)+VLOOKUP(AK17,'Memória de Cálculo'!$B$84:$H$119,7,FALSE)))</f>
        <v>2.7777777777777776E-2</v>
      </c>
      <c r="AL15" s="191">
        <f>IF(AL16=0,0,IF(AL17=0,VLOOKUP(AL16,'Memória de Cálculo'!$B$84:$H$119,7,FALSE),VLOOKUP(AL16,'Memória de Cálculo'!$B$84:$H$119,7,FALSE)+VLOOKUP(AL17,'Memória de Cálculo'!$B$84:$H$119,7,FALSE)))</f>
        <v>5.5555555555555552E-2</v>
      </c>
      <c r="AM15" s="191">
        <f>IF(AM16=0,0,IF(AM17=0,VLOOKUP(AM16,'Memória de Cálculo'!$B$84:$H$119,7,FALSE),VLOOKUP(AM16,'Memória de Cálculo'!$B$84:$H$119,7,FALSE)+VLOOKUP(AM17,'Memória de Cálculo'!$B$84:$H$119,7,FALSE)))</f>
        <v>0</v>
      </c>
      <c r="AN15" s="191">
        <f>IF(AN16=0,0,IF(AN17=0,VLOOKUP(AN16,'Memória de Cálculo'!$B$84:$H$119,7,FALSE),VLOOKUP(AN16,'Memória de Cálculo'!$B$84:$H$119,7,FALSE)+VLOOKUP(AN17,'Memória de Cálculo'!$B$84:$H$119,7,FALSE)))</f>
        <v>2.7777777777777776E-2</v>
      </c>
      <c r="AO15" s="191">
        <f>IF(AO16=0,0,IF(AO17=0,VLOOKUP(AO16,'Memória de Cálculo'!$B$84:$H$119,7,FALSE),VLOOKUP(AO16,'Memória de Cálculo'!$B$84:$H$119,7,FALSE)+VLOOKUP(AO17,'Memória de Cálculo'!$B$84:$H$119,7,FALSE)))</f>
        <v>2.7777777777777776E-2</v>
      </c>
      <c r="AP15" s="191">
        <f>IF(AP16=0,0,IF(AP17=0,VLOOKUP(AP16,'Memória de Cálculo'!$B$84:$H$119,7,FALSE),VLOOKUP(AP16,'Memória de Cálculo'!$B$84:$H$119,7,FALSE)+VLOOKUP(AP17,'Memória de Cálculo'!$B$84:$H$119,7,FALSE)))</f>
        <v>0</v>
      </c>
      <c r="AQ15" s="191">
        <f>IF(AQ16=0,0,IF(AQ17=0,VLOOKUP(AQ16,'Memória de Cálculo'!$B$84:$H$119,7,FALSE),VLOOKUP(AQ16,'Memória de Cálculo'!$B$84:$H$119,7,FALSE)+VLOOKUP(AQ17,'Memória de Cálculo'!$B$84:$H$119,7,FALSE)))</f>
        <v>5.5555555555555552E-2</v>
      </c>
      <c r="AR15" s="191">
        <f>IF(AR16=0,0,IF(AR17=0,VLOOKUP(AR16,'Memória de Cálculo'!$B$84:$H$119,7,FALSE),VLOOKUP(AR16,'Memória de Cálculo'!$B$84:$H$119,7,FALSE)+VLOOKUP(AR17,'Memória de Cálculo'!$B$84:$H$119,7,FALSE)))</f>
        <v>2.7777777777777776E-2</v>
      </c>
      <c r="AS15" s="191">
        <f>IF(AS16=0,0,IF(AS17=0,VLOOKUP(AS16,'Memória de Cálculo'!$B$84:$H$119,7,FALSE),VLOOKUP(AS16,'Memória de Cálculo'!$B$84:$H$119,7,FALSE)+VLOOKUP(AS17,'Memória de Cálculo'!$B$84:$H$119,7,FALSE)))</f>
        <v>0</v>
      </c>
      <c r="AT15" s="191">
        <f>IF(AT16=0,0,IF(AT17=0,VLOOKUP(AT16,'Memória de Cálculo'!$B$84:$H$119,7,FALSE),VLOOKUP(AT16,'Memória de Cálculo'!$B$84:$H$119,7,FALSE)+VLOOKUP(AT17,'Memória de Cálculo'!$B$84:$H$119,7,FALSE)))</f>
        <v>2.7777777777777776E-2</v>
      </c>
      <c r="AU15" s="191">
        <f>IF(AU16=0,0,IF(AU17=0,VLOOKUP(AU16,'Memória de Cálculo'!$B$84:$H$119,7,FALSE),VLOOKUP(AU16,'Memória de Cálculo'!$B$84:$H$119,7,FALSE)+VLOOKUP(AU17,'Memória de Cálculo'!$B$84:$H$119,7,FALSE)))</f>
        <v>2.7777777777777776E-2</v>
      </c>
      <c r="AV15" s="191">
        <f>IF(AV16=0,0,IF(AV17=0,VLOOKUP(AV16,'Memória de Cálculo'!$B$84:$H$119,7,FALSE),VLOOKUP(AV16,'Memória de Cálculo'!$B$84:$H$119,7,FALSE)+VLOOKUP(AV17,'Memória de Cálculo'!$B$84:$H$119,7,FALSE)))</f>
        <v>2.7777777777777776E-2</v>
      </c>
      <c r="AW15" s="191">
        <f>IF(AW16=0,0,IF(AW17=0,VLOOKUP(AW16,'Memória de Cálculo'!$B$84:$H$119,7,FALSE),VLOOKUP(AW16,'Memória de Cálculo'!$B$84:$H$119,7,FALSE)+VLOOKUP(AW17,'Memória de Cálculo'!$B$84:$H$119,7,FALSE)))</f>
        <v>0</v>
      </c>
      <c r="AX15" s="191">
        <f>IF(AX16=0,0,IF(AX17=0,VLOOKUP(AX16,'Memória de Cálculo'!$B$84:$H$119,7,FALSE),VLOOKUP(AX16,'Memória de Cálculo'!$B$84:$H$119,7,FALSE)+VLOOKUP(AX17,'Memória de Cálculo'!$B$84:$H$119,7,FALSE)))</f>
        <v>2.7777777777777776E-2</v>
      </c>
      <c r="AY15" s="191">
        <f>IF(AY16=0,0,IF(AY17=0,VLOOKUP(AY16,'Memória de Cálculo'!$B$84:$H$119,7,FALSE),VLOOKUP(AY16,'Memória de Cálculo'!$B$84:$H$119,7,FALSE)+VLOOKUP(AY17,'Memória de Cálculo'!$B$84:$H$119,7,FALSE)))</f>
        <v>0</v>
      </c>
      <c r="AZ15" s="191">
        <f>IF(AZ16=0,0,IF(AZ17=0,VLOOKUP(AZ16,'Memória de Cálculo'!$B$84:$H$119,7,FALSE),VLOOKUP(AZ16,'Memória de Cálculo'!$B$84:$H$119,7,FALSE)+VLOOKUP(AZ17,'Memória de Cálculo'!$B$84:$H$119,7,FALSE)))</f>
        <v>0</v>
      </c>
      <c r="BA15" s="191">
        <f>IF(BA16=0,0,IF(BA17=0,VLOOKUP(BA16,'Memória de Cálculo'!$B$84:$H$119,7,FALSE),VLOOKUP(BA16,'Memória de Cálculo'!$B$84:$H$119,7,FALSE)+VLOOKUP(BA17,'Memória de Cálculo'!$B$84:$H$119,7,FALSE)))</f>
        <v>0</v>
      </c>
      <c r="BB15" s="191">
        <f>IF(BB16=0,0,IF(BB17=0,VLOOKUP(BB16,'Memória de Cálculo'!$B$84:$H$119,7,FALSE),VLOOKUP(BB16,'Memória de Cálculo'!$B$84:$H$119,7,FALSE)+VLOOKUP(BB17,'Memória de Cálculo'!$B$84:$H$119,7,FALSE)))</f>
        <v>0</v>
      </c>
      <c r="BC15" s="191">
        <f>IF(BC16=0,0,IF(BC17=0,VLOOKUP(BC16,'Memória de Cálculo'!$B$84:$H$119,7,FALSE),VLOOKUP(BC16,'Memória de Cálculo'!$B$84:$H$119,7,FALSE)+VLOOKUP(BC17,'Memória de Cálculo'!$B$84:$H$119,7,FALSE)))</f>
        <v>0</v>
      </c>
      <c r="BD15" s="191">
        <f>IF(BD16=0,0,IF(BD17=0,VLOOKUP(BD16,'Memória de Cálculo'!$B$84:$H$119,7,FALSE),VLOOKUP(BD16,'Memória de Cálculo'!$B$84:$H$119,7,FALSE)+VLOOKUP(BD17,'Memória de Cálculo'!$B$84:$H$119,7,FALSE)))</f>
        <v>0</v>
      </c>
      <c r="BE15" s="191">
        <f>IF(BE16=0,0,IF(BE17=0,VLOOKUP(BE16,'Memória de Cálculo'!$B$84:$H$119,7,FALSE),VLOOKUP(BE16,'Memória de Cálculo'!$B$84:$H$119,7,FALSE)+VLOOKUP(BE17,'Memória de Cálculo'!$B$84:$H$119,7,FALSE)))</f>
        <v>0</v>
      </c>
      <c r="BF15" s="191">
        <f>IF(BF16=0,0,IF(BF17=0,VLOOKUP(BF16,'Memória de Cálculo'!$B$84:$H$119,7,FALSE),VLOOKUP(BF16,'Memória de Cálculo'!$B$84:$H$119,7,FALSE)+VLOOKUP(BF17,'Memória de Cálculo'!$B$84:$H$119,7,FALSE)))</f>
        <v>2.7777777777777776E-2</v>
      </c>
      <c r="BG15" s="191">
        <f>IF(BG16=0,0,IF(BG17=0,VLOOKUP(BG16,'Memória de Cálculo'!$B$84:$H$119,7,FALSE),VLOOKUP(BG16,'Memória de Cálculo'!$B$84:$H$119,7,FALSE)+VLOOKUP(BG17,'Memória de Cálculo'!$B$84:$H$119,7,FALSE)))</f>
        <v>2.7777777777777776E-2</v>
      </c>
      <c r="BH15" s="191">
        <f>IF(BH16=0,0,IF(BH17=0,VLOOKUP(BH16,'Memória de Cálculo'!$B$84:$H$119,7,FALSE),VLOOKUP(BH16,'Memória de Cálculo'!$B$84:$H$119,7,FALSE)+VLOOKUP(BH17,'Memória de Cálculo'!$B$84:$H$119,7,FALSE)))</f>
        <v>0</v>
      </c>
      <c r="BI15" s="191">
        <f>IF(BI16=0,0,IF(BI17=0,VLOOKUP(BI16,'Memória de Cálculo'!$B$84:$H$119,7,FALSE),VLOOKUP(BI16,'Memória de Cálculo'!$B$84:$H$119,7,FALSE)+VLOOKUP(BI17,'Memória de Cálculo'!$B$84:$H$119,7,FALSE)))</f>
        <v>5.5555555555555552E-2</v>
      </c>
      <c r="BJ15" s="191">
        <f>IF(BJ16=0,0,IF(BJ17=0,VLOOKUP(BJ16,'Memória de Cálculo'!$B$84:$H$119,7,FALSE),VLOOKUP(BJ16,'Memória de Cálculo'!$B$84:$H$119,7,FALSE)+VLOOKUP(BJ17,'Memória de Cálculo'!$B$84:$H$119,7,FALSE)))</f>
        <v>2.7777777777777776E-2</v>
      </c>
      <c r="BK15" s="191">
        <f>IF(BK16=0,0,IF(BK17=0,VLOOKUP(BK16,'Memória de Cálculo'!$B$84:$H$119,7,FALSE),VLOOKUP(BK16,'Memória de Cálculo'!$B$84:$H$119,7,FALSE)+VLOOKUP(BK17,'Memória de Cálculo'!$B$84:$H$119,7,FALSE)))</f>
        <v>2.7777777777777776E-2</v>
      </c>
      <c r="BL15" s="191">
        <f>IF(BL16=0,0,IF(BL17=0,VLOOKUP(BL16,'Memória de Cálculo'!$B$84:$H$119,7,FALSE),VLOOKUP(BL16,'Memória de Cálculo'!$B$84:$H$119,7,FALSE)+VLOOKUP(BL17,'Memória de Cálculo'!$B$84:$H$119,7,FALSE)))</f>
        <v>0</v>
      </c>
      <c r="BM15" s="189"/>
    </row>
    <row r="16" spans="1:68" s="190" customFormat="1" ht="24.9" hidden="1" customHeight="1" x14ac:dyDescent="0.25">
      <c r="A16" s="381"/>
      <c r="B16" s="384"/>
      <c r="C16" s="378" t="s">
        <v>861</v>
      </c>
      <c r="D16" s="387"/>
      <c r="E16" s="348"/>
      <c r="F16" s="348"/>
      <c r="G16" s="348"/>
      <c r="H16" s="348"/>
      <c r="I16" s="348"/>
      <c r="J16" s="348"/>
      <c r="K16" s="348"/>
      <c r="L16" s="348" t="s">
        <v>782</v>
      </c>
      <c r="M16" s="348"/>
      <c r="N16" s="348" t="s">
        <v>779</v>
      </c>
      <c r="O16" s="348"/>
      <c r="P16" s="348"/>
      <c r="Q16" s="348"/>
      <c r="R16" s="348"/>
      <c r="S16" s="348" t="s">
        <v>783</v>
      </c>
      <c r="T16" s="348"/>
      <c r="U16" s="348"/>
      <c r="V16" s="348"/>
      <c r="W16" s="348"/>
      <c r="X16" s="348" t="s">
        <v>808</v>
      </c>
      <c r="Y16" s="348" t="s">
        <v>793</v>
      </c>
      <c r="Z16" s="348" t="s">
        <v>787</v>
      </c>
      <c r="AA16" s="348"/>
      <c r="AB16" s="348"/>
      <c r="AC16" s="348" t="s">
        <v>788</v>
      </c>
      <c r="AD16" s="348" t="s">
        <v>789</v>
      </c>
      <c r="AE16" s="348" t="s">
        <v>790</v>
      </c>
      <c r="AF16" s="348"/>
      <c r="AG16" s="348" t="s">
        <v>792</v>
      </c>
      <c r="AH16" s="348" t="s">
        <v>791</v>
      </c>
      <c r="AI16" s="348" t="s">
        <v>794</v>
      </c>
      <c r="AJ16" s="348" t="s">
        <v>797</v>
      </c>
      <c r="AK16" s="348" t="s">
        <v>799</v>
      </c>
      <c r="AL16" s="348" t="s">
        <v>798</v>
      </c>
      <c r="AM16" s="348"/>
      <c r="AN16" s="348" t="s">
        <v>802</v>
      </c>
      <c r="AO16" s="348" t="s">
        <v>801</v>
      </c>
      <c r="AP16" s="348"/>
      <c r="AQ16" s="348" t="s">
        <v>803</v>
      </c>
      <c r="AR16" s="348" t="s">
        <v>805</v>
      </c>
      <c r="AS16" s="348"/>
      <c r="AT16" s="348" t="s">
        <v>807</v>
      </c>
      <c r="AU16" s="348" t="s">
        <v>806</v>
      </c>
      <c r="AV16" s="348" t="s">
        <v>810</v>
      </c>
      <c r="AW16" s="348"/>
      <c r="AX16" s="348" t="s">
        <v>809</v>
      </c>
      <c r="AY16" s="348"/>
      <c r="AZ16" s="348"/>
      <c r="BA16" s="348"/>
      <c r="BB16" s="348"/>
      <c r="BC16" s="348"/>
      <c r="BD16" s="348"/>
      <c r="BE16" s="348"/>
      <c r="BF16" s="348" t="s">
        <v>811</v>
      </c>
      <c r="BG16" s="348" t="s">
        <v>812</v>
      </c>
      <c r="BH16" s="348"/>
      <c r="BI16" s="348" t="s">
        <v>814</v>
      </c>
      <c r="BJ16" s="348" t="s">
        <v>815</v>
      </c>
      <c r="BK16" s="348" t="s">
        <v>816</v>
      </c>
      <c r="BL16" s="348"/>
      <c r="BM16" s="189"/>
    </row>
    <row r="17" spans="1:67" s="190" customFormat="1" ht="24.9" hidden="1" customHeight="1" x14ac:dyDescent="0.25">
      <c r="A17" s="381"/>
      <c r="B17" s="384"/>
      <c r="C17" s="379"/>
      <c r="D17" s="387"/>
      <c r="E17" s="337"/>
      <c r="F17" s="337"/>
      <c r="G17" s="337"/>
      <c r="H17" s="337"/>
      <c r="I17" s="337"/>
      <c r="J17" s="337"/>
      <c r="K17" s="337"/>
      <c r="L17" s="337"/>
      <c r="M17" s="337"/>
      <c r="N17" s="337" t="s">
        <v>784</v>
      </c>
      <c r="O17" s="337"/>
      <c r="P17" s="337"/>
      <c r="Q17" s="337"/>
      <c r="R17" s="337"/>
      <c r="S17" s="337" t="s">
        <v>785</v>
      </c>
      <c r="T17" s="337"/>
      <c r="U17" s="337"/>
      <c r="V17" s="337"/>
      <c r="W17" s="337"/>
      <c r="X17" s="337"/>
      <c r="Y17" s="337" t="s">
        <v>786</v>
      </c>
      <c r="Z17" s="337"/>
      <c r="AA17" s="337"/>
      <c r="AB17" s="337"/>
      <c r="AC17" s="337"/>
      <c r="AD17" s="337"/>
      <c r="AE17" s="337"/>
      <c r="AF17" s="337"/>
      <c r="AG17" s="337"/>
      <c r="AH17" s="337" t="s">
        <v>795</v>
      </c>
      <c r="AI17" s="337" t="s">
        <v>796</v>
      </c>
      <c r="AJ17" s="337"/>
      <c r="AK17" s="337"/>
      <c r="AL17" s="337" t="s">
        <v>800</v>
      </c>
      <c r="AM17" s="337"/>
      <c r="AN17" s="337"/>
      <c r="AO17" s="337"/>
      <c r="AP17" s="337"/>
      <c r="AQ17" s="337" t="s">
        <v>804</v>
      </c>
      <c r="AR17" s="337"/>
      <c r="AS17" s="337"/>
      <c r="AT17" s="337"/>
      <c r="AU17" s="337"/>
      <c r="AV17" s="337"/>
      <c r="AW17" s="337"/>
      <c r="AX17" s="337"/>
      <c r="AY17" s="337"/>
      <c r="AZ17" s="337"/>
      <c r="BA17" s="337"/>
      <c r="BB17" s="337"/>
      <c r="BC17" s="337"/>
      <c r="BD17" s="337"/>
      <c r="BE17" s="337"/>
      <c r="BF17" s="337"/>
      <c r="BG17" s="337"/>
      <c r="BH17" s="337"/>
      <c r="BI17" s="337" t="s">
        <v>813</v>
      </c>
      <c r="BJ17" s="337"/>
      <c r="BK17" s="337"/>
      <c r="BL17" s="337"/>
      <c r="BM17" s="189"/>
    </row>
    <row r="18" spans="1:67" s="100" customFormat="1" ht="24.9" customHeight="1" x14ac:dyDescent="0.25">
      <c r="A18" s="382"/>
      <c r="B18" s="385"/>
      <c r="C18" s="334" t="s">
        <v>14</v>
      </c>
      <c r="D18" s="388"/>
      <c r="E18" s="343">
        <f>E15*$D$15</f>
        <v>0</v>
      </c>
      <c r="F18" s="343">
        <f t="shared" ref="F18:BJ18" si="15">F15*$D$15</f>
        <v>0</v>
      </c>
      <c r="G18" s="343">
        <f t="shared" si="15"/>
        <v>0</v>
      </c>
      <c r="H18" s="343">
        <f t="shared" si="15"/>
        <v>0</v>
      </c>
      <c r="I18" s="343">
        <f t="shared" si="15"/>
        <v>0</v>
      </c>
      <c r="J18" s="343">
        <f t="shared" ref="J18:AY18" si="16">J15*$D$15</f>
        <v>0</v>
      </c>
      <c r="K18" s="343">
        <f t="shared" si="16"/>
        <v>0</v>
      </c>
      <c r="L18" s="343">
        <f t="shared" si="16"/>
        <v>0</v>
      </c>
      <c r="M18" s="343">
        <f t="shared" si="16"/>
        <v>0</v>
      </c>
      <c r="N18" s="343">
        <f t="shared" si="16"/>
        <v>0</v>
      </c>
      <c r="O18" s="343">
        <f t="shared" si="16"/>
        <v>0</v>
      </c>
      <c r="P18" s="343">
        <f t="shared" si="16"/>
        <v>0</v>
      </c>
      <c r="Q18" s="343">
        <f t="shared" si="16"/>
        <v>0</v>
      </c>
      <c r="R18" s="343">
        <f t="shared" si="16"/>
        <v>0</v>
      </c>
      <c r="S18" s="343">
        <f t="shared" si="16"/>
        <v>0</v>
      </c>
      <c r="T18" s="343">
        <f t="shared" si="16"/>
        <v>0</v>
      </c>
      <c r="U18" s="343">
        <f t="shared" si="16"/>
        <v>0</v>
      </c>
      <c r="V18" s="343">
        <f t="shared" si="16"/>
        <v>0</v>
      </c>
      <c r="W18" s="343">
        <f t="shared" si="16"/>
        <v>0</v>
      </c>
      <c r="X18" s="343">
        <f t="shared" si="16"/>
        <v>0</v>
      </c>
      <c r="Y18" s="343">
        <f t="shared" si="16"/>
        <v>0</v>
      </c>
      <c r="Z18" s="343">
        <f t="shared" si="16"/>
        <v>0</v>
      </c>
      <c r="AA18" s="343">
        <f t="shared" si="16"/>
        <v>0</v>
      </c>
      <c r="AB18" s="343">
        <f t="shared" si="16"/>
        <v>0</v>
      </c>
      <c r="AC18" s="343">
        <f t="shared" ref="AC18:AN18" si="17">AC15*$D$15</f>
        <v>0</v>
      </c>
      <c r="AD18" s="343">
        <f t="shared" si="17"/>
        <v>0</v>
      </c>
      <c r="AE18" s="343">
        <f t="shared" si="17"/>
        <v>0</v>
      </c>
      <c r="AF18" s="343">
        <f t="shared" si="17"/>
        <v>0</v>
      </c>
      <c r="AG18" s="343">
        <f t="shared" si="17"/>
        <v>0</v>
      </c>
      <c r="AH18" s="343">
        <f t="shared" si="17"/>
        <v>0</v>
      </c>
      <c r="AI18" s="343">
        <f t="shared" si="17"/>
        <v>0</v>
      </c>
      <c r="AJ18" s="343">
        <f t="shared" si="17"/>
        <v>0</v>
      </c>
      <c r="AK18" s="343">
        <f t="shared" si="17"/>
        <v>0</v>
      </c>
      <c r="AL18" s="343">
        <f t="shared" si="17"/>
        <v>0</v>
      </c>
      <c r="AM18" s="343">
        <f t="shared" si="17"/>
        <v>0</v>
      </c>
      <c r="AN18" s="343">
        <f t="shared" si="17"/>
        <v>0</v>
      </c>
      <c r="AO18" s="343">
        <f t="shared" si="16"/>
        <v>0</v>
      </c>
      <c r="AP18" s="343">
        <f t="shared" si="16"/>
        <v>0</v>
      </c>
      <c r="AQ18" s="343">
        <f t="shared" si="16"/>
        <v>0</v>
      </c>
      <c r="AR18" s="343">
        <f t="shared" si="16"/>
        <v>0</v>
      </c>
      <c r="AS18" s="343">
        <f t="shared" si="16"/>
        <v>0</v>
      </c>
      <c r="AT18" s="343">
        <f t="shared" si="16"/>
        <v>0</v>
      </c>
      <c r="AU18" s="343">
        <f t="shared" si="16"/>
        <v>0</v>
      </c>
      <c r="AV18" s="343">
        <f t="shared" si="16"/>
        <v>0</v>
      </c>
      <c r="AW18" s="343">
        <f t="shared" si="16"/>
        <v>0</v>
      </c>
      <c r="AX18" s="343">
        <f t="shared" si="16"/>
        <v>0</v>
      </c>
      <c r="AY18" s="343">
        <f t="shared" si="16"/>
        <v>0</v>
      </c>
      <c r="AZ18" s="343">
        <f t="shared" si="15"/>
        <v>0</v>
      </c>
      <c r="BA18" s="343">
        <f t="shared" si="15"/>
        <v>0</v>
      </c>
      <c r="BB18" s="343">
        <f t="shared" si="15"/>
        <v>0</v>
      </c>
      <c r="BC18" s="343">
        <f t="shared" si="15"/>
        <v>0</v>
      </c>
      <c r="BD18" s="343">
        <f t="shared" si="15"/>
        <v>0</v>
      </c>
      <c r="BE18" s="343">
        <f t="shared" ref="BE18:BH18" si="18">BE15*$D$15</f>
        <v>0</v>
      </c>
      <c r="BF18" s="343">
        <f t="shared" si="18"/>
        <v>0</v>
      </c>
      <c r="BG18" s="343">
        <f t="shared" si="18"/>
        <v>0</v>
      </c>
      <c r="BH18" s="343">
        <f t="shared" si="18"/>
        <v>0</v>
      </c>
      <c r="BI18" s="343">
        <f t="shared" si="15"/>
        <v>0</v>
      </c>
      <c r="BJ18" s="343">
        <f t="shared" si="15"/>
        <v>0</v>
      </c>
      <c r="BK18" s="343">
        <f t="shared" ref="BK18:BL18" si="19">BK15*$D$15</f>
        <v>0</v>
      </c>
      <c r="BL18" s="343">
        <f t="shared" si="19"/>
        <v>0</v>
      </c>
      <c r="BM18" s="344"/>
      <c r="BN18" s="100">
        <f>SUM(E18:BL18)</f>
        <v>0</v>
      </c>
      <c r="BO18" s="100">
        <f>BN18-D15</f>
        <v>0</v>
      </c>
    </row>
    <row r="19" spans="1:67" s="190" customFormat="1" ht="40.200000000000003" customHeight="1" x14ac:dyDescent="0.25">
      <c r="A19" s="380" t="s">
        <v>20</v>
      </c>
      <c r="B19" s="396" t="str">
        <f>'Planilha Orçamentária'!D9</f>
        <v>Levantamento Topográfico Planialtimétrico Cadastral Georreferenciado para Loteamentos, Incluindo a Implantação de Base (Par de Marcos) de Concreto, Georreferenciados com GPS de Dupla Frequência e levantamento aerofotogramétrico urbano, GSD &lt;= 4cm; PEC Classe A, Inclusive Pós Processamento.</v>
      </c>
      <c r="C19" s="188" t="s">
        <v>13</v>
      </c>
      <c r="D19" s="386">
        <f>'Planilha Orçamentária'!I9</f>
        <v>0</v>
      </c>
      <c r="E19" s="191">
        <f>IF(E20=0,0,IF(E21=0,VLOOKUP(E20,'Memória de Cálculo'!$B$123:$H$158,7,FALSE),VLOOKUP(E20,'Memória de Cálculo'!$B$123:$H$158,7,FALSE)+VLOOKUP(E21,'Memória de Cálculo'!$B$123:$H$158,7,FALSE)))</f>
        <v>2.701825908711724E-2</v>
      </c>
      <c r="F19" s="191">
        <f>IF(F20=0,0,IF(F21=0,VLOOKUP(F20,'Memória de Cálculo'!$B$123:$H$158,7,FALSE),VLOOKUP(F20,'Memória de Cálculo'!$B$123:$H$158,7,FALSE)+VLOOKUP(F21,'Memória de Cálculo'!$B$123:$H$158,7,FALSE)))</f>
        <v>2.701825908711724E-2</v>
      </c>
      <c r="G19" s="191">
        <f>IF(G20=0,0,IF(G21=0,VLOOKUP(G20,'Memória de Cálculo'!$B$123:$H$158,7,FALSE),VLOOKUP(G20,'Memória de Cálculo'!$B$123:$H$158,7,FALSE)+VLOOKUP(G21,'Memória de Cálculo'!$B$123:$H$158,7,FALSE)))</f>
        <v>2.3333748727452371E-2</v>
      </c>
      <c r="H19" s="191">
        <f>IF(H20=0,0,IF(H21=0,VLOOKUP(H20,'Memória de Cálculo'!$B$123:$H$158,7,FALSE),VLOOKUP(H20,'Memória de Cálculo'!$B$123:$H$158,7,FALSE)+VLOOKUP(H21,'Memória de Cálculo'!$B$123:$H$158,7,FALSE)))</f>
        <v>1.7154890211140833E-2</v>
      </c>
      <c r="I19" s="191">
        <f>IF(I20=0,0,IF(I21=0,VLOOKUP(I20,'Memória de Cálculo'!$B$123:$H$158,7,FALSE),VLOOKUP(I20,'Memória de Cálculo'!$B$123:$H$158,7,FALSE)+VLOOKUP(I21,'Memória de Cálculo'!$B$123:$H$158,7,FALSE)))</f>
        <v>1.7154890211140833E-2</v>
      </c>
      <c r="J19" s="191">
        <f>IF(J20=0,0,IF(J21=0,VLOOKUP(J20,'Memória de Cálculo'!$B$123:$H$158,7,FALSE),VLOOKUP(J20,'Memória de Cálculo'!$B$123:$H$158,7,FALSE)+VLOOKUP(J21,'Memória de Cálculo'!$B$123:$H$158,7,FALSE)))</f>
        <v>2.4545938429174238E-2</v>
      </c>
      <c r="K19" s="191">
        <f>IF(K20=0,0,IF(K21=0,VLOOKUP(K20,'Memória de Cálculo'!$B$123:$H$158,7,FALSE),VLOOKUP(K20,'Memória de Cálculo'!$B$123:$H$158,7,FALSE)+VLOOKUP(K21,'Memória de Cálculo'!$B$123:$H$158,7,FALSE)))</f>
        <v>1.4367153832375185E-2</v>
      </c>
      <c r="L19" s="191">
        <f>IF(L20=0,0,IF(L21=0,VLOOKUP(L20,'Memória de Cálculo'!$B$123:$H$158,7,FALSE),VLOOKUP(L20,'Memória de Cálculo'!$B$123:$H$158,7,FALSE)+VLOOKUP(L21,'Memória de Cálculo'!$B$123:$H$158,7,FALSE)))</f>
        <v>4.3449354071820226E-2</v>
      </c>
      <c r="M19" s="191">
        <f>IF(M20=0,0,IF(M21=0,VLOOKUP(M20,'Memória de Cálculo'!$B$123:$H$158,7,FALSE),VLOOKUP(M20,'Memória de Cálculo'!$B$123:$H$158,7,FALSE)+VLOOKUP(M21,'Memória de Cálculo'!$B$123:$H$158,7,FALSE)))</f>
        <v>3.8728744995678036E-2</v>
      </c>
      <c r="N19" s="191">
        <f>IF(N20=0,0,IF(N21=0,VLOOKUP(N20,'Memória de Cálculo'!$B$123:$H$158,7,FALSE),VLOOKUP(N20,'Memória de Cálculo'!$B$123:$H$158,7,FALSE)+VLOOKUP(N21,'Memória de Cálculo'!$B$123:$H$158,7,FALSE)))</f>
        <v>3.8728744995678036E-2</v>
      </c>
      <c r="O19" s="191">
        <f>IF(O20=0,0,IF(O21=0,VLOOKUP(O20,'Memória de Cálculo'!$B$123:$H$158,7,FALSE),VLOOKUP(O20,'Memória de Cálculo'!$B$123:$H$158,7,FALSE)+VLOOKUP(O21,'Memória de Cálculo'!$B$123:$H$158,7,FALSE)))</f>
        <v>3.8728744995678036E-2</v>
      </c>
      <c r="P19" s="191">
        <f>IF(P20=0,0,IF(P21=0,VLOOKUP(P20,'Memória de Cálculo'!$B$123:$H$158,7,FALSE),VLOOKUP(P20,'Memória de Cálculo'!$B$123:$H$158,7,FALSE)+VLOOKUP(P21,'Memória de Cálculo'!$B$123:$H$158,7,FALSE)))</f>
        <v>2.9700211870351368E-2</v>
      </c>
      <c r="Q19" s="191">
        <f>IF(Q20=0,0,IF(Q21=0,VLOOKUP(Q20,'Memória de Cálculo'!$B$123:$H$158,7,FALSE),VLOOKUP(Q20,'Memória de Cálculo'!$B$123:$H$158,7,FALSE)+VLOOKUP(Q21,'Memória de Cálculo'!$B$123:$H$158,7,FALSE)))</f>
        <v>2.0446678972394931E-2</v>
      </c>
      <c r="R19" s="191">
        <f>IF(R20=0,0,IF(R21=0,VLOOKUP(R20,'Memória de Cálculo'!$B$123:$H$158,7,FALSE),VLOOKUP(R20,'Memória de Cálculo'!$B$123:$H$158,7,FALSE)+VLOOKUP(R21,'Memória de Cálculo'!$B$123:$H$158,7,FALSE)))</f>
        <v>4.1197937297289766E-2</v>
      </c>
      <c r="S19" s="191">
        <f>IF(S20=0,0,IF(S21=0,VLOOKUP(S20,'Memória de Cálculo'!$B$123:$H$158,7,FALSE),VLOOKUP(S20,'Memória de Cálculo'!$B$123:$H$158,7,FALSE)+VLOOKUP(S21,'Memória de Cálculo'!$B$123:$H$158,7,FALSE)))</f>
        <v>4.1197937297289766E-2</v>
      </c>
      <c r="T19" s="191">
        <f>IF(T20=0,0,IF(T21=0,VLOOKUP(T20,'Memória de Cálculo'!$B$123:$H$158,7,FALSE),VLOOKUP(T20,'Memória de Cálculo'!$B$123:$H$158,7,FALSE)+VLOOKUP(T21,'Memória de Cálculo'!$B$123:$H$158,7,FALSE)))</f>
        <v>4.1197937297289766E-2</v>
      </c>
      <c r="U19" s="191">
        <f>IF(U20=0,0,IF(U21=0,VLOOKUP(U20,'Memória de Cálculo'!$B$123:$H$158,7,FALSE),VLOOKUP(U20,'Memória de Cálculo'!$B$123:$H$158,7,FALSE)+VLOOKUP(U21,'Memória de Cálculo'!$B$123:$H$158,7,FALSE)))</f>
        <v>2.8778943181889283E-2</v>
      </c>
      <c r="V19" s="191">
        <f>IF(V20=0,0,IF(V21=0,VLOOKUP(V20,'Memória de Cálculo'!$B$123:$H$158,7,FALSE),VLOOKUP(V20,'Memória de Cálculo'!$B$123:$H$158,7,FALSE)+VLOOKUP(V21,'Memória de Cálculo'!$B$123:$H$158,7,FALSE)))</f>
        <v>2.8778943181889283E-2</v>
      </c>
      <c r="W19" s="191">
        <f>IF(W20=0,0,IF(W21=0,VLOOKUP(W20,'Memória de Cálculo'!$B$123:$H$158,7,FALSE),VLOOKUP(W20,'Memória de Cálculo'!$B$123:$H$158,7,FALSE)+VLOOKUP(W21,'Memória de Cálculo'!$B$123:$H$158,7,FALSE)))</f>
        <v>2.0064180971479131E-2</v>
      </c>
      <c r="X19" s="191">
        <f>IF(X20=0,0,IF(X21=0,VLOOKUP(X20,'Memória de Cálculo'!$B$123:$H$158,7,FALSE),VLOOKUP(X20,'Memória de Cálculo'!$B$123:$H$158,7,FALSE)+VLOOKUP(X21,'Memória de Cálculo'!$B$123:$H$158,7,FALSE)))</f>
        <v>1.2298117006848006E-2</v>
      </c>
      <c r="Y19" s="191">
        <f>IF(Y20=0,0,IF(Y21=0,VLOOKUP(Y20,'Memória de Cálculo'!$B$123:$H$158,7,FALSE),VLOOKUP(Y20,'Memória de Cálculo'!$B$123:$H$158,7,FALSE)+VLOOKUP(Y21,'Memória de Cálculo'!$B$123:$H$158,7,FALSE)))</f>
        <v>2.7282492318272651E-3</v>
      </c>
      <c r="Z19" s="191">
        <f>IF(Z20=0,0,IF(Z21=0,VLOOKUP(Z20,'Memória de Cálculo'!$B$123:$H$158,7,FALSE),VLOOKUP(Z20,'Memória de Cálculo'!$B$123:$H$158,7,FALSE)+VLOOKUP(Z21,'Memória de Cálculo'!$B$123:$H$158,7,FALSE)))</f>
        <v>1.7416269220282665E-2</v>
      </c>
      <c r="AA19" s="191">
        <f>IF(AA20=0,0,IF(AA21=0,VLOOKUP(AA20,'Memória de Cálculo'!$B$123:$H$158,7,FALSE),VLOOKUP(AA20,'Memória de Cálculo'!$B$123:$H$158,7,FALSE)+VLOOKUP(AA21,'Memória de Cálculo'!$B$123:$H$158,7,FALSE)))</f>
        <v>9.0933578286859183E-3</v>
      </c>
      <c r="AB19" s="191">
        <f>IF(AB20=0,0,IF(AB21=0,VLOOKUP(AB20,'Memória de Cálculo'!$B$123:$H$158,7,FALSE),VLOOKUP(AB20,'Memória de Cálculo'!$B$123:$H$158,7,FALSE)+VLOOKUP(AB21,'Memória de Cálculo'!$B$123:$H$158,7,FALSE)))</f>
        <v>2.4766616554913391E-2</v>
      </c>
      <c r="AC19" s="191">
        <f>IF(AC20=0,0,IF(AC21=0,VLOOKUP(AC20,'Memória de Cálculo'!$B$123:$H$158,7,FALSE),VLOOKUP(AC20,'Memória de Cálculo'!$B$123:$H$158,7,FALSE)+VLOOKUP(AC21,'Memória de Cálculo'!$B$123:$H$158,7,FALSE)))</f>
        <v>1.2042011051934649E-2</v>
      </c>
      <c r="AD19" s="191">
        <f>IF(AD20=0,0,IF(AD21=0,VLOOKUP(AD20,'Memória de Cálculo'!$B$123:$H$158,7,FALSE),VLOOKUP(AD20,'Memória de Cálculo'!$B$123:$H$158,7,FALSE)+VLOOKUP(AD21,'Memória de Cálculo'!$B$123:$H$158,7,FALSE)))</f>
        <v>0</v>
      </c>
      <c r="AE19" s="191">
        <f>IF(AE20=0,0,IF(AE21=0,VLOOKUP(AE20,'Memória de Cálculo'!$B$123:$H$158,7,FALSE),VLOOKUP(AE20,'Memória de Cálculo'!$B$123:$H$158,7,FALSE)+VLOOKUP(AE21,'Memória de Cálculo'!$B$123:$H$158,7,FALSE)))</f>
        <v>4.926677455303367E-4</v>
      </c>
      <c r="AF19" s="191">
        <f>IF(AF20=0,0,IF(AF21=0,VLOOKUP(AF20,'Memória de Cálculo'!$B$123:$H$158,7,FALSE),VLOOKUP(AF20,'Memória de Cálculo'!$B$123:$H$158,7,FALSE)+VLOOKUP(AF21,'Memória de Cálculo'!$B$123:$H$158,7,FALSE)))</f>
        <v>0</v>
      </c>
      <c r="AG19" s="191">
        <f>IF(AG20=0,0,IF(AG21=0,VLOOKUP(AG20,'Memória de Cálculo'!$B$123:$H$158,7,FALSE),VLOOKUP(AG20,'Memória de Cálculo'!$B$123:$H$158,7,FALSE)+VLOOKUP(AG21,'Memória de Cálculo'!$B$123:$H$158,7,FALSE)))</f>
        <v>1.5782783448918036E-2</v>
      </c>
      <c r="AH19" s="191">
        <f>IF(AH20=0,0,IF(AH21=0,VLOOKUP(AH20,'Memória de Cálculo'!$B$123:$H$158,7,FALSE),VLOOKUP(AH20,'Memória de Cálculo'!$B$123:$H$158,7,FALSE)+VLOOKUP(AH21,'Memória de Cálculo'!$B$123:$H$158,7,FALSE)))</f>
        <v>1.5782783448918036E-2</v>
      </c>
      <c r="AI19" s="191">
        <f>IF(AI20=0,0,IF(AI21=0,VLOOKUP(AI20,'Memória de Cálculo'!$B$123:$H$158,7,FALSE),VLOOKUP(AI20,'Memória de Cálculo'!$B$123:$H$158,7,FALSE)+VLOOKUP(AI21,'Memória de Cálculo'!$B$123:$H$158,7,FALSE)))</f>
        <v>0</v>
      </c>
      <c r="AJ19" s="191">
        <f>IF(AJ20=0,0,IF(AJ21=0,VLOOKUP(AJ20,'Memória de Cálculo'!$B$123:$H$158,7,FALSE),VLOOKUP(AJ20,'Memória de Cálculo'!$B$123:$H$158,7,FALSE)+VLOOKUP(AJ21,'Memória de Cálculo'!$B$123:$H$158,7,FALSE)))</f>
        <v>7.3746324100683021E-3</v>
      </c>
      <c r="AK19" s="191">
        <f>IF(AK20=0,0,IF(AK21=0,VLOOKUP(AK20,'Memória de Cálculo'!$B$123:$H$158,7,FALSE),VLOOKUP(AK20,'Memória de Cálculo'!$B$123:$H$158,7,FALSE)+VLOOKUP(AK21,'Memória de Cálculo'!$B$123:$H$158,7,FALSE)))</f>
        <v>7.3746324100683021E-3</v>
      </c>
      <c r="AL19" s="191">
        <f>IF(AL20=0,0,IF(AL21=0,VLOOKUP(AL20,'Memória de Cálculo'!$B$123:$H$158,7,FALSE),VLOOKUP(AL20,'Memória de Cálculo'!$B$123:$H$158,7,FALSE)+VLOOKUP(AL21,'Memória de Cálculo'!$B$123:$H$158,7,FALSE)))</f>
        <v>1.1855180451655961E-2</v>
      </c>
      <c r="AM19" s="191">
        <f>IF(AM20=0,0,IF(AM21=0,VLOOKUP(AM20,'Memória de Cálculo'!$B$123:$H$158,7,FALSE),VLOOKUP(AM20,'Memória de Cálculo'!$B$123:$H$158,7,FALSE)+VLOOKUP(AM21,'Memória de Cálculo'!$B$123:$H$158,7,FALSE)))</f>
        <v>1.1855180451655961E-2</v>
      </c>
      <c r="AN19" s="191">
        <f>IF(AN20=0,0,IF(AN21=0,VLOOKUP(AN20,'Memória de Cálculo'!$B$123:$H$158,7,FALSE),VLOOKUP(AN20,'Memória de Cálculo'!$B$123:$H$158,7,FALSE)+VLOOKUP(AN21,'Memória de Cálculo'!$B$123:$H$158,7,FALSE)))</f>
        <v>2.6718130385892751E-2</v>
      </c>
      <c r="AO19" s="191">
        <f>IF(AO20=0,0,IF(AO21=0,VLOOKUP(AO20,'Memória de Cálculo'!$B$123:$H$158,7,FALSE),VLOOKUP(AO20,'Memória de Cálculo'!$B$123:$H$158,7,FALSE)+VLOOKUP(AO21,'Memória de Cálculo'!$B$123:$H$158,7,FALSE)))</f>
        <v>2.6718130385892751E-2</v>
      </c>
      <c r="AP19" s="191">
        <f>IF(AP20=0,0,IF(AP21=0,VLOOKUP(AP20,'Memória de Cálculo'!$B$123:$H$158,7,FALSE),VLOOKUP(AP20,'Memória de Cálculo'!$B$123:$H$158,7,FALSE)+VLOOKUP(AP21,'Memória de Cálculo'!$B$123:$H$158,7,FALSE)))</f>
        <v>9.7241570192350048E-3</v>
      </c>
      <c r="AQ19" s="191">
        <f>IF(AQ20=0,0,IF(AQ21=0,VLOOKUP(AQ20,'Memória de Cálculo'!$B$123:$H$158,7,FALSE),VLOOKUP(AQ20,'Memória de Cálculo'!$B$123:$H$158,7,FALSE)+VLOOKUP(AQ21,'Memória de Cálculo'!$B$123:$H$158,7,FALSE)))</f>
        <v>1.9784950980591354E-2</v>
      </c>
      <c r="AR19" s="191">
        <f>IF(AR20=0,0,IF(AR21=0,VLOOKUP(AR20,'Memória de Cálculo'!$B$123:$H$158,7,FALSE),VLOOKUP(AR20,'Memória de Cálculo'!$B$123:$H$158,7,FALSE)+VLOOKUP(AR21,'Memória de Cálculo'!$B$123:$H$158,7,FALSE)))</f>
        <v>9.7241570192350048E-3</v>
      </c>
      <c r="AS19" s="191">
        <f>IF(AS20=0,0,IF(AS21=0,VLOOKUP(AS20,'Memória de Cálculo'!$B$123:$H$158,7,FALSE),VLOOKUP(AS20,'Memória de Cálculo'!$B$123:$H$158,7,FALSE)+VLOOKUP(AS21,'Memória de Cálculo'!$B$123:$H$158,7,FALSE)))</f>
        <v>0</v>
      </c>
      <c r="AT19" s="191">
        <f>IF(AT20=0,0,IF(AT21=0,VLOOKUP(AT20,'Memória de Cálculo'!$B$123:$H$158,7,FALSE),VLOOKUP(AT20,'Memória de Cálculo'!$B$123:$H$158,7,FALSE)+VLOOKUP(AT21,'Memória de Cálculo'!$B$123:$H$158,7,FALSE)))</f>
        <v>1.0026398167260506E-2</v>
      </c>
      <c r="AU19" s="191">
        <f>IF(AU20=0,0,IF(AU21=0,VLOOKUP(AU20,'Memória de Cálculo'!$B$123:$H$158,7,FALSE),VLOOKUP(AU20,'Memória de Cálculo'!$B$123:$H$158,7,FALSE)+VLOOKUP(AU21,'Memória de Cálculo'!$B$123:$H$158,7,FALSE)))</f>
        <v>1.0026398167260506E-2</v>
      </c>
      <c r="AV19" s="191">
        <f>IF(AV20=0,0,IF(AV21=0,VLOOKUP(AV20,'Memória de Cálculo'!$B$123:$H$158,7,FALSE),VLOOKUP(AV20,'Memória de Cálculo'!$B$123:$H$158,7,FALSE)+VLOOKUP(AV21,'Memória de Cálculo'!$B$123:$H$158,7,FALSE)))</f>
        <v>1.0026398167260506E-2</v>
      </c>
      <c r="AW19" s="191">
        <f>IF(AW20=0,0,IF(AW21=0,VLOOKUP(AW20,'Memória de Cálculo'!$B$123:$H$158,7,FALSE),VLOOKUP(AW20,'Memória de Cálculo'!$B$123:$H$158,7,FALSE)+VLOOKUP(AW21,'Memória de Cálculo'!$B$123:$H$158,7,FALSE)))</f>
        <v>1.0026398167260506E-2</v>
      </c>
      <c r="AX19" s="191">
        <f>IF(AX20=0,0,IF(AX21=0,VLOOKUP(AX20,'Memória de Cálculo'!$B$123:$H$158,7,FALSE),VLOOKUP(AX20,'Memória de Cálculo'!$B$123:$H$158,7,FALSE)+VLOOKUP(AX21,'Memória de Cálculo'!$B$123:$H$158,7,FALSE)))</f>
        <v>1.717357972138794E-2</v>
      </c>
      <c r="AY19" s="191">
        <f>IF(AY20=0,0,IF(AY21=0,VLOOKUP(AY20,'Memória de Cálculo'!$B$123:$H$158,7,FALSE),VLOOKUP(AY20,'Memória de Cálculo'!$B$123:$H$158,7,FALSE)+VLOOKUP(AY21,'Memória de Cálculo'!$B$123:$H$158,7,FALSE)))</f>
        <v>1.717357972138794E-2</v>
      </c>
      <c r="AZ19" s="191">
        <f>IF(AZ20=0,0,IF(AZ21=0,VLOOKUP(AZ20,'Memória de Cálculo'!$B$123:$H$158,7,FALSE),VLOOKUP(AZ20,'Memória de Cálculo'!$B$123:$H$158,7,FALSE)+VLOOKUP(AZ21,'Memória de Cálculo'!$B$123:$H$158,7,FALSE)))</f>
        <v>3.4791837557162648E-2</v>
      </c>
      <c r="BA19" s="191">
        <f>IF(BA20=0,0,IF(BA21=0,VLOOKUP(BA20,'Memória de Cálculo'!$B$123:$H$158,7,FALSE),VLOOKUP(BA20,'Memória de Cálculo'!$B$123:$H$158,7,FALSE)+VLOOKUP(BA21,'Memória de Cálculo'!$B$123:$H$158,7,FALSE)))</f>
        <v>1.7618257835774708E-2</v>
      </c>
      <c r="BB19" s="191">
        <f>IF(BB20=0,0,IF(BB21=0,VLOOKUP(BB20,'Memória de Cálculo'!$B$123:$H$158,7,FALSE),VLOOKUP(BB20,'Memória de Cálculo'!$B$123:$H$158,7,FALSE)+VLOOKUP(BB21,'Memória de Cálculo'!$B$123:$H$158,7,FALSE)))</f>
        <v>1.7618257835774708E-2</v>
      </c>
      <c r="BC19" s="191">
        <f>IF(BC20=0,0,IF(BC21=0,VLOOKUP(BC20,'Memória de Cálculo'!$B$123:$H$158,7,FALSE),VLOOKUP(BC20,'Memória de Cálculo'!$B$123:$H$158,7,FALSE)+VLOOKUP(BC21,'Memória de Cálculo'!$B$123:$H$158,7,FALSE)))</f>
        <v>1.1465941971634645E-2</v>
      </c>
      <c r="BD19" s="191">
        <f>IF(BD20=0,0,IF(BD21=0,VLOOKUP(BD20,'Memória de Cálculo'!$B$123:$H$158,7,FALSE),VLOOKUP(BD20,'Memória de Cálculo'!$B$123:$H$158,7,FALSE)+VLOOKUP(BD21,'Memória de Cálculo'!$B$123:$H$158,7,FALSE)))</f>
        <v>1.1465941971634645E-2</v>
      </c>
      <c r="BE19" s="191">
        <f>IF(BE20=0,0,IF(BE21=0,VLOOKUP(BE20,'Memória de Cálculo'!$B$123:$H$158,7,FALSE),VLOOKUP(BE20,'Memória de Cálculo'!$B$123:$H$158,7,FALSE)+VLOOKUP(BE21,'Memória de Cálculo'!$B$123:$H$158,7,FALSE)))</f>
        <v>0</v>
      </c>
      <c r="BF19" s="191">
        <f>IF(BF20=0,0,IF(BF21=0,VLOOKUP(BF20,'Memória de Cálculo'!$B$123:$H$158,7,FALSE),VLOOKUP(BF20,'Memória de Cálculo'!$B$123:$H$158,7,FALSE)+VLOOKUP(BF21,'Memória de Cálculo'!$B$123:$H$158,7,FALSE)))</f>
        <v>4.1758719357991615E-3</v>
      </c>
      <c r="BG19" s="191">
        <f>IF(BG20=0,0,IF(BG21=0,VLOOKUP(BG20,'Memória de Cálculo'!$B$123:$H$158,7,FALSE),VLOOKUP(BG20,'Memória de Cálculo'!$B$123:$H$158,7,FALSE)+VLOOKUP(BG21,'Memória de Cálculo'!$B$123:$H$158,7,FALSE)))</f>
        <v>2.5287633014002331E-2</v>
      </c>
      <c r="BH19" s="191">
        <f>IF(BH20=0,0,IF(BH21=0,VLOOKUP(BH20,'Memória de Cálculo'!$B$123:$H$158,7,FALSE),VLOOKUP(BH20,'Memória de Cálculo'!$B$123:$H$158,7,FALSE)+VLOOKUP(BH21,'Memória de Cálculo'!$B$123:$H$158,7,FALSE)))</f>
        <v>0</v>
      </c>
      <c r="BI19" s="191">
        <f>IF(BI20=0,0,IF(BI21=0,VLOOKUP(BI20,'Memória de Cálculo'!$B$123:$H$158,7,FALSE),VLOOKUP(BI20,'Memória de Cálculo'!$B$123:$H$158,7,FALSE)+VLOOKUP(BI21,'Memória de Cálculo'!$B$123:$H$158,7,FALSE)))</f>
        <v>0</v>
      </c>
      <c r="BJ19" s="191">
        <f>IF(BJ20=0,0,IF(BJ21=0,VLOOKUP(BJ20,'Memória de Cálculo'!$B$123:$H$158,7,FALSE),VLOOKUP(BJ20,'Memória de Cálculo'!$B$123:$H$158,7,FALSE)+VLOOKUP(BJ21,'Memória de Cálculo'!$B$123:$H$158,7,FALSE)))</f>
        <v>0</v>
      </c>
      <c r="BK19" s="191">
        <f>IF(BK20=0,0,IF(BK21=0,VLOOKUP(BK20,'Memória de Cálculo'!$B$123:$H$158,7,FALSE),VLOOKUP(BK20,'Memória de Cálculo'!$B$123:$H$158,7,FALSE)+VLOOKUP(BK21,'Memória de Cálculo'!$B$123:$H$158,7,FALSE)))</f>
        <v>0</v>
      </c>
      <c r="BL19" s="191">
        <f>IF(BL20=0,0,IF(BL21=0,VLOOKUP(BL20,'Memória de Cálculo'!$B$123:$H$158,7,FALSE),VLOOKUP(BL20,'Memória de Cálculo'!$B$123:$H$158,7,FALSE)+VLOOKUP(BL21,'Memória de Cálculo'!$B$123:$H$158,7,FALSE)))</f>
        <v>0</v>
      </c>
      <c r="BM19" s="189"/>
    </row>
    <row r="20" spans="1:67" s="190" customFormat="1" ht="24.9" hidden="1" customHeight="1" x14ac:dyDescent="0.25">
      <c r="A20" s="381"/>
      <c r="B20" s="397"/>
      <c r="C20" s="378" t="s">
        <v>861</v>
      </c>
      <c r="D20" s="387"/>
      <c r="E20" s="348" t="s">
        <v>779</v>
      </c>
      <c r="F20" s="348" t="s">
        <v>779</v>
      </c>
      <c r="G20" s="348" t="s">
        <v>779</v>
      </c>
      <c r="H20" s="348" t="s">
        <v>783</v>
      </c>
      <c r="I20" s="348" t="s">
        <v>783</v>
      </c>
      <c r="J20" s="348" t="s">
        <v>783</v>
      </c>
      <c r="K20" s="348" t="s">
        <v>785</v>
      </c>
      <c r="L20" s="348" t="s">
        <v>785</v>
      </c>
      <c r="M20" s="348" t="s">
        <v>808</v>
      </c>
      <c r="N20" s="348" t="s">
        <v>808</v>
      </c>
      <c r="O20" s="348" t="s">
        <v>808</v>
      </c>
      <c r="P20" s="348" t="s">
        <v>793</v>
      </c>
      <c r="Q20" s="348" t="s">
        <v>786</v>
      </c>
      <c r="R20" s="348" t="s">
        <v>788</v>
      </c>
      <c r="S20" s="348" t="s">
        <v>788</v>
      </c>
      <c r="T20" s="348" t="s">
        <v>788</v>
      </c>
      <c r="U20" s="348" t="s">
        <v>790</v>
      </c>
      <c r="V20" s="348" t="s">
        <v>790</v>
      </c>
      <c r="W20" s="348" t="s">
        <v>791</v>
      </c>
      <c r="X20" s="348" t="s">
        <v>794</v>
      </c>
      <c r="Y20" s="348" t="s">
        <v>796</v>
      </c>
      <c r="Z20" s="348" t="s">
        <v>798</v>
      </c>
      <c r="AA20" s="348" t="s">
        <v>798</v>
      </c>
      <c r="AB20" s="348" t="s">
        <v>801</v>
      </c>
      <c r="AC20" s="348" t="s">
        <v>801</v>
      </c>
      <c r="AD20" s="348"/>
      <c r="AE20" s="348" t="s">
        <v>805</v>
      </c>
      <c r="AF20" s="348"/>
      <c r="AG20" s="348" t="s">
        <v>803</v>
      </c>
      <c r="AH20" s="348" t="s">
        <v>803</v>
      </c>
      <c r="AI20" s="348"/>
      <c r="AJ20" s="348" t="s">
        <v>804</v>
      </c>
      <c r="AK20" s="348" t="s">
        <v>804</v>
      </c>
      <c r="AL20" s="348" t="s">
        <v>807</v>
      </c>
      <c r="AM20" s="348" t="s">
        <v>807</v>
      </c>
      <c r="AN20" s="348" t="s">
        <v>806</v>
      </c>
      <c r="AO20" s="348" t="s">
        <v>806</v>
      </c>
      <c r="AP20" s="348" t="s">
        <v>809</v>
      </c>
      <c r="AQ20" s="348" t="s">
        <v>809</v>
      </c>
      <c r="AR20" s="348" t="s">
        <v>809</v>
      </c>
      <c r="AS20" s="348"/>
      <c r="AT20" s="348" t="s">
        <v>811</v>
      </c>
      <c r="AU20" s="348" t="s">
        <v>811</v>
      </c>
      <c r="AV20" s="348" t="s">
        <v>811</v>
      </c>
      <c r="AW20" s="348" t="s">
        <v>811</v>
      </c>
      <c r="AX20" s="348" t="s">
        <v>812</v>
      </c>
      <c r="AY20" s="348" t="s">
        <v>812</v>
      </c>
      <c r="AZ20" s="348" t="s">
        <v>814</v>
      </c>
      <c r="BA20" s="348" t="s">
        <v>814</v>
      </c>
      <c r="BB20" s="348" t="s">
        <v>814</v>
      </c>
      <c r="BC20" s="348" t="s">
        <v>813</v>
      </c>
      <c r="BD20" s="348" t="s">
        <v>813</v>
      </c>
      <c r="BE20" s="348"/>
      <c r="BF20" s="348" t="s">
        <v>815</v>
      </c>
      <c r="BG20" s="348" t="s">
        <v>816</v>
      </c>
      <c r="BH20" s="348"/>
      <c r="BI20" s="348"/>
      <c r="BJ20" s="348"/>
      <c r="BK20" s="348"/>
      <c r="BL20" s="348"/>
      <c r="BM20" s="189"/>
    </row>
    <row r="21" spans="1:67" s="190" customFormat="1" ht="24.9" hidden="1" customHeight="1" x14ac:dyDescent="0.25">
      <c r="A21" s="381"/>
      <c r="B21" s="397"/>
      <c r="C21" s="379"/>
      <c r="D21" s="387"/>
      <c r="E21" s="337" t="s">
        <v>782</v>
      </c>
      <c r="F21" s="337" t="s">
        <v>782</v>
      </c>
      <c r="G21" s="337" t="s">
        <v>783</v>
      </c>
      <c r="H21" s="337" t="s">
        <v>784</v>
      </c>
      <c r="I21" s="337" t="s">
        <v>784</v>
      </c>
      <c r="J21" s="337" t="s">
        <v>785</v>
      </c>
      <c r="K21" s="337"/>
      <c r="L21" s="337" t="s">
        <v>808</v>
      </c>
      <c r="M21" s="337" t="s">
        <v>793</v>
      </c>
      <c r="N21" s="337" t="s">
        <v>793</v>
      </c>
      <c r="O21" s="337" t="s">
        <v>793</v>
      </c>
      <c r="P21" s="337" t="s">
        <v>786</v>
      </c>
      <c r="Q21" s="337" t="s">
        <v>787</v>
      </c>
      <c r="R21" s="337" t="s">
        <v>789</v>
      </c>
      <c r="S21" s="337" t="s">
        <v>789</v>
      </c>
      <c r="T21" s="337" t="s">
        <v>789</v>
      </c>
      <c r="U21" s="337" t="s">
        <v>791</v>
      </c>
      <c r="V21" s="337" t="s">
        <v>791</v>
      </c>
      <c r="W21" s="337" t="s">
        <v>792</v>
      </c>
      <c r="X21" s="337" t="s">
        <v>795</v>
      </c>
      <c r="Y21" s="337" t="s">
        <v>797</v>
      </c>
      <c r="Z21" s="337" t="s">
        <v>799</v>
      </c>
      <c r="AA21" s="337" t="s">
        <v>800</v>
      </c>
      <c r="AB21" s="337" t="s">
        <v>802</v>
      </c>
      <c r="AC21" s="337"/>
      <c r="AD21" s="337"/>
      <c r="AE21" s="337"/>
      <c r="AF21" s="337"/>
      <c r="AG21" s="337"/>
      <c r="AH21" s="337"/>
      <c r="AI21" s="337"/>
      <c r="AJ21" s="337"/>
      <c r="AK21" s="337"/>
      <c r="AL21" s="337"/>
      <c r="AM21" s="337"/>
      <c r="AN21" s="337"/>
      <c r="AO21" s="337"/>
      <c r="AP21" s="337"/>
      <c r="AQ21" s="337" t="s">
        <v>810</v>
      </c>
      <c r="AR21" s="337"/>
      <c r="AS21" s="337"/>
      <c r="AT21" s="337"/>
      <c r="AU21" s="337"/>
      <c r="AV21" s="337"/>
      <c r="AW21" s="337"/>
      <c r="AX21" s="337"/>
      <c r="AY21" s="337"/>
      <c r="AZ21" s="337" t="s">
        <v>812</v>
      </c>
      <c r="BA21" s="337"/>
      <c r="BB21" s="337"/>
      <c r="BC21" s="337"/>
      <c r="BD21" s="337"/>
      <c r="BE21" s="337"/>
      <c r="BF21" s="337"/>
      <c r="BG21" s="337"/>
      <c r="BH21" s="337"/>
      <c r="BI21" s="337"/>
      <c r="BJ21" s="337"/>
      <c r="BK21" s="337"/>
      <c r="BL21" s="337"/>
      <c r="BM21" s="189"/>
    </row>
    <row r="22" spans="1:67" s="100" customFormat="1" ht="40.200000000000003" customHeight="1" x14ac:dyDescent="0.25">
      <c r="A22" s="382"/>
      <c r="B22" s="398"/>
      <c r="C22" s="334" t="s">
        <v>14</v>
      </c>
      <c r="D22" s="388"/>
      <c r="E22" s="343">
        <f t="shared" ref="E22:BJ22" si="20">E19*$D$19</f>
        <v>0</v>
      </c>
      <c r="F22" s="343">
        <f t="shared" si="20"/>
        <v>0</v>
      </c>
      <c r="G22" s="343">
        <f t="shared" si="20"/>
        <v>0</v>
      </c>
      <c r="H22" s="343">
        <f t="shared" si="20"/>
        <v>0</v>
      </c>
      <c r="I22" s="343">
        <f t="shared" si="20"/>
        <v>0</v>
      </c>
      <c r="J22" s="343">
        <f t="shared" si="20"/>
        <v>0</v>
      </c>
      <c r="K22" s="343">
        <f t="shared" si="20"/>
        <v>0</v>
      </c>
      <c r="L22" s="343">
        <f t="shared" si="20"/>
        <v>0</v>
      </c>
      <c r="M22" s="343">
        <f t="shared" si="20"/>
        <v>0</v>
      </c>
      <c r="N22" s="343">
        <f t="shared" si="20"/>
        <v>0</v>
      </c>
      <c r="O22" s="343">
        <f t="shared" si="20"/>
        <v>0</v>
      </c>
      <c r="P22" s="343">
        <f t="shared" si="20"/>
        <v>0</v>
      </c>
      <c r="Q22" s="343">
        <f t="shared" si="20"/>
        <v>0</v>
      </c>
      <c r="R22" s="343">
        <f t="shared" si="20"/>
        <v>0</v>
      </c>
      <c r="S22" s="343">
        <f t="shared" si="20"/>
        <v>0</v>
      </c>
      <c r="T22" s="343">
        <f t="shared" si="20"/>
        <v>0</v>
      </c>
      <c r="U22" s="343">
        <f t="shared" si="20"/>
        <v>0</v>
      </c>
      <c r="V22" s="343">
        <f t="shared" si="20"/>
        <v>0</v>
      </c>
      <c r="W22" s="343">
        <f t="shared" si="20"/>
        <v>0</v>
      </c>
      <c r="X22" s="343">
        <f t="shared" si="20"/>
        <v>0</v>
      </c>
      <c r="Y22" s="343">
        <f t="shared" si="20"/>
        <v>0</v>
      </c>
      <c r="Z22" s="343">
        <f t="shared" si="20"/>
        <v>0</v>
      </c>
      <c r="AA22" s="343">
        <f t="shared" si="20"/>
        <v>0</v>
      </c>
      <c r="AB22" s="343">
        <f t="shared" si="20"/>
        <v>0</v>
      </c>
      <c r="AC22" s="343">
        <f t="shared" si="20"/>
        <v>0</v>
      </c>
      <c r="AD22" s="343">
        <f t="shared" si="20"/>
        <v>0</v>
      </c>
      <c r="AE22" s="343">
        <f t="shared" si="20"/>
        <v>0</v>
      </c>
      <c r="AF22" s="343">
        <f t="shared" si="20"/>
        <v>0</v>
      </c>
      <c r="AG22" s="343">
        <f t="shared" si="20"/>
        <v>0</v>
      </c>
      <c r="AH22" s="343">
        <f t="shared" si="20"/>
        <v>0</v>
      </c>
      <c r="AI22" s="343">
        <f t="shared" si="20"/>
        <v>0</v>
      </c>
      <c r="AJ22" s="343">
        <f t="shared" si="20"/>
        <v>0</v>
      </c>
      <c r="AK22" s="343">
        <f t="shared" si="20"/>
        <v>0</v>
      </c>
      <c r="AL22" s="343">
        <f t="shared" si="20"/>
        <v>0</v>
      </c>
      <c r="AM22" s="343">
        <f t="shared" si="20"/>
        <v>0</v>
      </c>
      <c r="AN22" s="343">
        <f t="shared" si="20"/>
        <v>0</v>
      </c>
      <c r="AO22" s="343">
        <f t="shared" si="20"/>
        <v>0</v>
      </c>
      <c r="AP22" s="343">
        <f t="shared" si="20"/>
        <v>0</v>
      </c>
      <c r="AQ22" s="343">
        <f t="shared" si="20"/>
        <v>0</v>
      </c>
      <c r="AR22" s="343">
        <f t="shared" si="20"/>
        <v>0</v>
      </c>
      <c r="AS22" s="343">
        <f t="shared" si="20"/>
        <v>0</v>
      </c>
      <c r="AT22" s="343">
        <f t="shared" si="20"/>
        <v>0</v>
      </c>
      <c r="AU22" s="343">
        <f t="shared" si="20"/>
        <v>0</v>
      </c>
      <c r="AV22" s="343">
        <f t="shared" si="20"/>
        <v>0</v>
      </c>
      <c r="AW22" s="343">
        <f t="shared" si="20"/>
        <v>0</v>
      </c>
      <c r="AX22" s="343">
        <f t="shared" si="20"/>
        <v>0</v>
      </c>
      <c r="AY22" s="343">
        <f t="shared" si="20"/>
        <v>0</v>
      </c>
      <c r="AZ22" s="343">
        <f t="shared" si="20"/>
        <v>0</v>
      </c>
      <c r="BA22" s="343">
        <f t="shared" si="20"/>
        <v>0</v>
      </c>
      <c r="BB22" s="343">
        <f t="shared" si="20"/>
        <v>0</v>
      </c>
      <c r="BC22" s="343">
        <f t="shared" si="20"/>
        <v>0</v>
      </c>
      <c r="BD22" s="343">
        <f t="shared" si="20"/>
        <v>0</v>
      </c>
      <c r="BE22" s="343">
        <f t="shared" ref="BE22:BH22" si="21">BE19*$D$19</f>
        <v>0</v>
      </c>
      <c r="BF22" s="343">
        <f t="shared" si="21"/>
        <v>0</v>
      </c>
      <c r="BG22" s="343">
        <f t="shared" si="21"/>
        <v>0</v>
      </c>
      <c r="BH22" s="343">
        <f t="shared" si="21"/>
        <v>0</v>
      </c>
      <c r="BI22" s="343">
        <f t="shared" si="20"/>
        <v>0</v>
      </c>
      <c r="BJ22" s="343">
        <f t="shared" si="20"/>
        <v>0</v>
      </c>
      <c r="BK22" s="343">
        <f t="shared" ref="BK22:BL22" si="22">BK19*$D$19</f>
        <v>0</v>
      </c>
      <c r="BL22" s="343">
        <f t="shared" si="22"/>
        <v>0</v>
      </c>
      <c r="BM22" s="344"/>
      <c r="BN22" s="100">
        <f>SUM(E22:BL22)</f>
        <v>0</v>
      </c>
      <c r="BO22" s="100">
        <f>BN22-D19</f>
        <v>0</v>
      </c>
    </row>
    <row r="23" spans="1:67" s="190" customFormat="1" ht="24.9" customHeight="1" x14ac:dyDescent="0.25">
      <c r="A23" s="380" t="s">
        <v>29</v>
      </c>
      <c r="B23" s="383" t="str">
        <f>'Planilha Orçamentária'!D10</f>
        <v>Administrativo Local da Regularização Fundiária com Geração de Relatório</v>
      </c>
      <c r="C23" s="188" t="s">
        <v>13</v>
      </c>
      <c r="D23" s="386">
        <f>'Planilha Orçamentária'!I10</f>
        <v>0</v>
      </c>
      <c r="E23" s="191" t="e">
        <f t="shared" ref="E23:AJ23" si="23">SUM(E10,E14,E18,E22,E28,E32,E36,E40,E44,E46,E48)/SUM($D$7:$D$22,$D$25:$D$48)</f>
        <v>#DIV/0!</v>
      </c>
      <c r="F23" s="191" t="e">
        <f t="shared" si="23"/>
        <v>#DIV/0!</v>
      </c>
      <c r="G23" s="191" t="e">
        <f t="shared" si="23"/>
        <v>#DIV/0!</v>
      </c>
      <c r="H23" s="191" t="e">
        <f t="shared" si="23"/>
        <v>#DIV/0!</v>
      </c>
      <c r="I23" s="191" t="e">
        <f t="shared" si="23"/>
        <v>#DIV/0!</v>
      </c>
      <c r="J23" s="191" t="e">
        <f t="shared" si="23"/>
        <v>#DIV/0!</v>
      </c>
      <c r="K23" s="191" t="e">
        <f t="shared" si="23"/>
        <v>#DIV/0!</v>
      </c>
      <c r="L23" s="191" t="e">
        <f t="shared" si="23"/>
        <v>#DIV/0!</v>
      </c>
      <c r="M23" s="191" t="e">
        <f t="shared" si="23"/>
        <v>#DIV/0!</v>
      </c>
      <c r="N23" s="191" t="e">
        <f t="shared" si="23"/>
        <v>#DIV/0!</v>
      </c>
      <c r="O23" s="191" t="e">
        <f t="shared" si="23"/>
        <v>#DIV/0!</v>
      </c>
      <c r="P23" s="191" t="e">
        <f t="shared" si="23"/>
        <v>#DIV/0!</v>
      </c>
      <c r="Q23" s="191" t="e">
        <f t="shared" si="23"/>
        <v>#DIV/0!</v>
      </c>
      <c r="R23" s="191" t="e">
        <f t="shared" si="23"/>
        <v>#DIV/0!</v>
      </c>
      <c r="S23" s="191" t="e">
        <f t="shared" si="23"/>
        <v>#DIV/0!</v>
      </c>
      <c r="T23" s="191" t="e">
        <f t="shared" si="23"/>
        <v>#DIV/0!</v>
      </c>
      <c r="U23" s="191" t="e">
        <f t="shared" si="23"/>
        <v>#DIV/0!</v>
      </c>
      <c r="V23" s="191" t="e">
        <f t="shared" si="23"/>
        <v>#DIV/0!</v>
      </c>
      <c r="W23" s="191" t="e">
        <f t="shared" si="23"/>
        <v>#DIV/0!</v>
      </c>
      <c r="X23" s="191" t="e">
        <f t="shared" si="23"/>
        <v>#DIV/0!</v>
      </c>
      <c r="Y23" s="191" t="e">
        <f t="shared" si="23"/>
        <v>#DIV/0!</v>
      </c>
      <c r="Z23" s="191" t="e">
        <f t="shared" si="23"/>
        <v>#DIV/0!</v>
      </c>
      <c r="AA23" s="191" t="e">
        <f t="shared" si="23"/>
        <v>#DIV/0!</v>
      </c>
      <c r="AB23" s="191" t="e">
        <f t="shared" si="23"/>
        <v>#DIV/0!</v>
      </c>
      <c r="AC23" s="191" t="e">
        <f t="shared" si="23"/>
        <v>#DIV/0!</v>
      </c>
      <c r="AD23" s="191" t="e">
        <f t="shared" si="23"/>
        <v>#DIV/0!</v>
      </c>
      <c r="AE23" s="191" t="e">
        <f t="shared" si="23"/>
        <v>#DIV/0!</v>
      </c>
      <c r="AF23" s="191" t="e">
        <f t="shared" si="23"/>
        <v>#DIV/0!</v>
      </c>
      <c r="AG23" s="191" t="e">
        <f t="shared" si="23"/>
        <v>#DIV/0!</v>
      </c>
      <c r="AH23" s="191" t="e">
        <f t="shared" si="23"/>
        <v>#DIV/0!</v>
      </c>
      <c r="AI23" s="191" t="e">
        <f t="shared" si="23"/>
        <v>#DIV/0!</v>
      </c>
      <c r="AJ23" s="191" t="e">
        <f t="shared" si="23"/>
        <v>#DIV/0!</v>
      </c>
      <c r="AK23" s="191" t="e">
        <f t="shared" ref="AK23:BL23" si="24">SUM(AK10,AK14,AK18,AK22,AK28,AK32,AK36,AK40,AK44,AK46,AK48)/SUM($D$7:$D$22,$D$25:$D$48)</f>
        <v>#DIV/0!</v>
      </c>
      <c r="AL23" s="191" t="e">
        <f t="shared" si="24"/>
        <v>#DIV/0!</v>
      </c>
      <c r="AM23" s="191" t="e">
        <f t="shared" si="24"/>
        <v>#DIV/0!</v>
      </c>
      <c r="AN23" s="191" t="e">
        <f t="shared" si="24"/>
        <v>#DIV/0!</v>
      </c>
      <c r="AO23" s="191" t="e">
        <f t="shared" si="24"/>
        <v>#DIV/0!</v>
      </c>
      <c r="AP23" s="191" t="e">
        <f t="shared" si="24"/>
        <v>#DIV/0!</v>
      </c>
      <c r="AQ23" s="191" t="e">
        <f t="shared" si="24"/>
        <v>#DIV/0!</v>
      </c>
      <c r="AR23" s="191" t="e">
        <f t="shared" si="24"/>
        <v>#DIV/0!</v>
      </c>
      <c r="AS23" s="191" t="e">
        <f t="shared" si="24"/>
        <v>#DIV/0!</v>
      </c>
      <c r="AT23" s="191" t="e">
        <f t="shared" si="24"/>
        <v>#DIV/0!</v>
      </c>
      <c r="AU23" s="191" t="e">
        <f t="shared" si="24"/>
        <v>#DIV/0!</v>
      </c>
      <c r="AV23" s="191" t="e">
        <f t="shared" si="24"/>
        <v>#DIV/0!</v>
      </c>
      <c r="AW23" s="191" t="e">
        <f t="shared" si="24"/>
        <v>#DIV/0!</v>
      </c>
      <c r="AX23" s="191" t="e">
        <f t="shared" si="24"/>
        <v>#DIV/0!</v>
      </c>
      <c r="AY23" s="191" t="e">
        <f t="shared" si="24"/>
        <v>#DIV/0!</v>
      </c>
      <c r="AZ23" s="191" t="e">
        <f t="shared" si="24"/>
        <v>#DIV/0!</v>
      </c>
      <c r="BA23" s="191" t="e">
        <f t="shared" si="24"/>
        <v>#DIV/0!</v>
      </c>
      <c r="BB23" s="191" t="e">
        <f t="shared" si="24"/>
        <v>#DIV/0!</v>
      </c>
      <c r="BC23" s="191" t="e">
        <f t="shared" si="24"/>
        <v>#DIV/0!</v>
      </c>
      <c r="BD23" s="191" t="e">
        <f t="shared" si="24"/>
        <v>#DIV/0!</v>
      </c>
      <c r="BE23" s="191" t="e">
        <f t="shared" si="24"/>
        <v>#DIV/0!</v>
      </c>
      <c r="BF23" s="191" t="e">
        <f t="shared" si="24"/>
        <v>#DIV/0!</v>
      </c>
      <c r="BG23" s="191" t="e">
        <f t="shared" si="24"/>
        <v>#DIV/0!</v>
      </c>
      <c r="BH23" s="191" t="e">
        <f t="shared" si="24"/>
        <v>#DIV/0!</v>
      </c>
      <c r="BI23" s="191" t="e">
        <f t="shared" si="24"/>
        <v>#DIV/0!</v>
      </c>
      <c r="BJ23" s="191" t="e">
        <f t="shared" si="24"/>
        <v>#DIV/0!</v>
      </c>
      <c r="BK23" s="191" t="e">
        <f t="shared" si="24"/>
        <v>#DIV/0!</v>
      </c>
      <c r="BL23" s="191" t="e">
        <f t="shared" si="24"/>
        <v>#DIV/0!</v>
      </c>
      <c r="BM23" s="189"/>
    </row>
    <row r="24" spans="1:67" s="340" customFormat="1" ht="24.9" customHeight="1" x14ac:dyDescent="0.25">
      <c r="A24" s="382"/>
      <c r="B24" s="385"/>
      <c r="C24" s="338" t="s">
        <v>14</v>
      </c>
      <c r="D24" s="388"/>
      <c r="E24" s="343" t="e">
        <f>E23*$D$23</f>
        <v>#DIV/0!</v>
      </c>
      <c r="F24" s="343" t="e">
        <f t="shared" ref="F24:BL24" si="25">F23*$D$23</f>
        <v>#DIV/0!</v>
      </c>
      <c r="G24" s="343" t="e">
        <f t="shared" si="25"/>
        <v>#DIV/0!</v>
      </c>
      <c r="H24" s="343" t="e">
        <f t="shared" si="25"/>
        <v>#DIV/0!</v>
      </c>
      <c r="I24" s="343" t="e">
        <f t="shared" si="25"/>
        <v>#DIV/0!</v>
      </c>
      <c r="J24" s="343" t="e">
        <f t="shared" si="25"/>
        <v>#DIV/0!</v>
      </c>
      <c r="K24" s="343" t="e">
        <f t="shared" si="25"/>
        <v>#DIV/0!</v>
      </c>
      <c r="L24" s="343" t="e">
        <f t="shared" si="25"/>
        <v>#DIV/0!</v>
      </c>
      <c r="M24" s="343" t="e">
        <f t="shared" si="25"/>
        <v>#DIV/0!</v>
      </c>
      <c r="N24" s="343" t="e">
        <f t="shared" si="25"/>
        <v>#DIV/0!</v>
      </c>
      <c r="O24" s="343" t="e">
        <f t="shared" si="25"/>
        <v>#DIV/0!</v>
      </c>
      <c r="P24" s="343" t="e">
        <f t="shared" si="25"/>
        <v>#DIV/0!</v>
      </c>
      <c r="Q24" s="343" t="e">
        <f t="shared" si="25"/>
        <v>#DIV/0!</v>
      </c>
      <c r="R24" s="343" t="e">
        <f t="shared" si="25"/>
        <v>#DIV/0!</v>
      </c>
      <c r="S24" s="343" t="e">
        <f t="shared" si="25"/>
        <v>#DIV/0!</v>
      </c>
      <c r="T24" s="343" t="e">
        <f t="shared" si="25"/>
        <v>#DIV/0!</v>
      </c>
      <c r="U24" s="343" t="e">
        <f t="shared" si="25"/>
        <v>#DIV/0!</v>
      </c>
      <c r="V24" s="343" t="e">
        <f t="shared" si="25"/>
        <v>#DIV/0!</v>
      </c>
      <c r="W24" s="343" t="e">
        <f t="shared" si="25"/>
        <v>#DIV/0!</v>
      </c>
      <c r="X24" s="343" t="e">
        <f t="shared" si="25"/>
        <v>#DIV/0!</v>
      </c>
      <c r="Y24" s="343" t="e">
        <f t="shared" si="25"/>
        <v>#DIV/0!</v>
      </c>
      <c r="Z24" s="343" t="e">
        <f t="shared" si="25"/>
        <v>#DIV/0!</v>
      </c>
      <c r="AA24" s="343" t="e">
        <f t="shared" si="25"/>
        <v>#DIV/0!</v>
      </c>
      <c r="AB24" s="343" t="e">
        <f t="shared" si="25"/>
        <v>#DIV/0!</v>
      </c>
      <c r="AC24" s="343" t="e">
        <f>AC23*$D$23</f>
        <v>#DIV/0!</v>
      </c>
      <c r="AD24" s="343" t="e">
        <f t="shared" si="25"/>
        <v>#DIV/0!</v>
      </c>
      <c r="AE24" s="343" t="e">
        <f t="shared" si="25"/>
        <v>#DIV/0!</v>
      </c>
      <c r="AF24" s="343" t="e">
        <f t="shared" si="25"/>
        <v>#DIV/0!</v>
      </c>
      <c r="AG24" s="343" t="e">
        <f t="shared" si="25"/>
        <v>#DIV/0!</v>
      </c>
      <c r="AH24" s="343" t="e">
        <f t="shared" si="25"/>
        <v>#DIV/0!</v>
      </c>
      <c r="AI24" s="343" t="e">
        <f t="shared" si="25"/>
        <v>#DIV/0!</v>
      </c>
      <c r="AJ24" s="343" t="e">
        <f t="shared" si="25"/>
        <v>#DIV/0!</v>
      </c>
      <c r="AK24" s="343" t="e">
        <f t="shared" si="25"/>
        <v>#DIV/0!</v>
      </c>
      <c r="AL24" s="343" t="e">
        <f t="shared" si="25"/>
        <v>#DIV/0!</v>
      </c>
      <c r="AM24" s="343" t="e">
        <f t="shared" si="25"/>
        <v>#DIV/0!</v>
      </c>
      <c r="AN24" s="343" t="e">
        <f t="shared" si="25"/>
        <v>#DIV/0!</v>
      </c>
      <c r="AO24" s="343" t="e">
        <f t="shared" si="25"/>
        <v>#DIV/0!</v>
      </c>
      <c r="AP24" s="343" t="e">
        <f t="shared" si="25"/>
        <v>#DIV/0!</v>
      </c>
      <c r="AQ24" s="343" t="e">
        <f t="shared" si="25"/>
        <v>#DIV/0!</v>
      </c>
      <c r="AR24" s="343" t="e">
        <f t="shared" si="25"/>
        <v>#DIV/0!</v>
      </c>
      <c r="AS24" s="343" t="e">
        <f t="shared" si="25"/>
        <v>#DIV/0!</v>
      </c>
      <c r="AT24" s="343" t="e">
        <f t="shared" si="25"/>
        <v>#DIV/0!</v>
      </c>
      <c r="AU24" s="343" t="e">
        <f t="shared" si="25"/>
        <v>#DIV/0!</v>
      </c>
      <c r="AV24" s="343" t="e">
        <f t="shared" si="25"/>
        <v>#DIV/0!</v>
      </c>
      <c r="AW24" s="343" t="e">
        <f t="shared" si="25"/>
        <v>#DIV/0!</v>
      </c>
      <c r="AX24" s="343" t="e">
        <f t="shared" si="25"/>
        <v>#DIV/0!</v>
      </c>
      <c r="AY24" s="343" t="e">
        <f t="shared" si="25"/>
        <v>#DIV/0!</v>
      </c>
      <c r="AZ24" s="343" t="e">
        <f t="shared" si="25"/>
        <v>#DIV/0!</v>
      </c>
      <c r="BA24" s="343" t="e">
        <f t="shared" ref="BA24" si="26">BA23*$D$23</f>
        <v>#DIV/0!</v>
      </c>
      <c r="BB24" s="343" t="e">
        <f t="shared" ref="BB24" si="27">BB23*$D$23</f>
        <v>#DIV/0!</v>
      </c>
      <c r="BC24" s="343" t="e">
        <f t="shared" ref="BC24" si="28">BC23*$D$23</f>
        <v>#DIV/0!</v>
      </c>
      <c r="BD24" s="343" t="e">
        <f t="shared" ref="BD24" si="29">BD23*$D$23</f>
        <v>#DIV/0!</v>
      </c>
      <c r="BE24" s="343" t="e">
        <f t="shared" ref="BE24" si="30">BE23*$D$23</f>
        <v>#DIV/0!</v>
      </c>
      <c r="BF24" s="343" t="e">
        <f t="shared" ref="BF24" si="31">BF23*$D$23</f>
        <v>#DIV/0!</v>
      </c>
      <c r="BG24" s="343" t="e">
        <f t="shared" ref="BG24" si="32">BG23*$D$23</f>
        <v>#DIV/0!</v>
      </c>
      <c r="BH24" s="343" t="e">
        <f t="shared" ref="BH24" si="33">BH23*$D$23</f>
        <v>#DIV/0!</v>
      </c>
      <c r="BI24" s="343" t="e">
        <f t="shared" ref="BI24" si="34">BI23*$D$23</f>
        <v>#DIV/0!</v>
      </c>
      <c r="BJ24" s="343" t="e">
        <f t="shared" ref="BJ24" si="35">BJ23*$D$23</f>
        <v>#DIV/0!</v>
      </c>
      <c r="BK24" s="343" t="e">
        <f t="shared" si="25"/>
        <v>#DIV/0!</v>
      </c>
      <c r="BL24" s="343" t="e">
        <f t="shared" si="25"/>
        <v>#DIV/0!</v>
      </c>
      <c r="BM24" s="339"/>
      <c r="BN24" s="349" t="e">
        <f>SUM(E24:BL24)</f>
        <v>#DIV/0!</v>
      </c>
      <c r="BO24" s="100" t="e">
        <f>BN24-D23</f>
        <v>#DIV/0!</v>
      </c>
    </row>
    <row r="25" spans="1:67" s="190" customFormat="1" ht="24.9" customHeight="1" x14ac:dyDescent="0.25">
      <c r="A25" s="380" t="s">
        <v>32</v>
      </c>
      <c r="B25" s="383" t="str">
        <f>'Planilha Orçamentária'!D11</f>
        <v>Cadastro Físico e Selagem</v>
      </c>
      <c r="C25" s="188" t="s">
        <v>13</v>
      </c>
      <c r="D25" s="386">
        <f>'Planilha Orçamentária'!I11</f>
        <v>0</v>
      </c>
      <c r="E25" s="191">
        <f>IF(E26=0,0,IF(E27=0,VLOOKUP(E26,'Memória de Cálculo'!$B$167:$H$202,7,FALSE),VLOOKUP(E26,'Memória de Cálculo'!$B$167:$H$202,7,FALSE)+VLOOKUP(E27,'Memória de Cálculo'!$B$167:$H$202,7,FALSE)))</f>
        <v>0</v>
      </c>
      <c r="F25" s="191">
        <f>IF(F26=0,0,IF(F27=0,VLOOKUP(F26,'Memória de Cálculo'!$B$167:$H$202,7,FALSE),VLOOKUP(F26,'Memória de Cálculo'!$B$167:$H$202,7,FALSE)+VLOOKUP(F27,'Memória de Cálculo'!$B$167:$H$202,7,FALSE)))</f>
        <v>0</v>
      </c>
      <c r="G25" s="191">
        <f>IF(G26=0,0,IF(G27=0,VLOOKUP(G26,'Memória de Cálculo'!$B$167:$H$202,7,FALSE),VLOOKUP(G26,'Memória de Cálculo'!$B$167:$H$202,7,FALSE)+VLOOKUP(G27,'Memória de Cálculo'!$B$167:$H$202,7,FALSE)))</f>
        <v>1.0543390105433903E-2</v>
      </c>
      <c r="H25" s="191">
        <f>IF(H26=0,0,IF(H27=0,VLOOKUP(H26,'Memória de Cálculo'!$B$167:$H$202,7,FALSE),VLOOKUP(H26,'Memória de Cálculo'!$B$167:$H$202,7,FALSE)+VLOOKUP(H27,'Memória de Cálculo'!$B$167:$H$202,7,FALSE)))</f>
        <v>2.3888520238885203E-2</v>
      </c>
      <c r="I25" s="191">
        <f>IF(I26=0,0,IF(I27=0,VLOOKUP(I26,'Memória de Cálculo'!$B$167:$H$202,7,FALSE),VLOOKUP(I26,'Memória de Cálculo'!$B$167:$H$202,7,FALSE)+VLOOKUP(I27,'Memória de Cálculo'!$B$167:$H$202,7,FALSE)))</f>
        <v>2.3888520238885203E-2</v>
      </c>
      <c r="J25" s="191">
        <f>IF(J26=0,0,IF(J27=0,VLOOKUP(J26,'Memória de Cálculo'!$B$167:$H$202,7,FALSE),VLOOKUP(J26,'Memória de Cálculo'!$B$167:$H$202,7,FALSE)+VLOOKUP(J27,'Memória de Cálculo'!$B$167:$H$202,7,FALSE)))</f>
        <v>2.1307970213079702E-2</v>
      </c>
      <c r="K25" s="191">
        <f>IF(K26=0,0,IF(K27=0,VLOOKUP(K26,'Memória de Cálculo'!$B$167:$H$202,7,FALSE),VLOOKUP(K26,'Memória de Cálculo'!$B$167:$H$202,7,FALSE)+VLOOKUP(K27,'Memória de Cálculo'!$B$167:$H$202,7,FALSE)))</f>
        <v>2.5746516257465161E-2</v>
      </c>
      <c r="L25" s="191">
        <f>IF(L26=0,0,IF(L27=0,VLOOKUP(L26,'Memória de Cálculo'!$B$167:$H$202,7,FALSE),VLOOKUP(L26,'Memória de Cálculo'!$B$167:$H$202,7,FALSE)+VLOOKUP(L27,'Memória de Cálculo'!$B$167:$H$202,7,FALSE)))</f>
        <v>2.0364226203642262E-2</v>
      </c>
      <c r="M25" s="191">
        <f>IF(M26=0,0,IF(M27=0,VLOOKUP(M26,'Memória de Cálculo'!$B$167:$H$202,7,FALSE),VLOOKUP(M26,'Memória de Cálculo'!$B$167:$H$202,7,FALSE)+VLOOKUP(M27,'Memória de Cálculo'!$B$167:$H$202,7,FALSE)))</f>
        <v>2.4714296247142963E-2</v>
      </c>
      <c r="N25" s="191">
        <f>IF(N26=0,0,IF(N27=0,VLOOKUP(N26,'Memória de Cálculo'!$B$167:$H$202,7,FALSE),VLOOKUP(N26,'Memória de Cálculo'!$B$167:$H$202,7,FALSE)+VLOOKUP(N27,'Memória de Cálculo'!$B$167:$H$202,7,FALSE)))</f>
        <v>2.4714296247142963E-2</v>
      </c>
      <c r="O25" s="191">
        <f>IF(O26=0,0,IF(O27=0,VLOOKUP(O26,'Memória de Cálculo'!$B$167:$H$202,7,FALSE),VLOOKUP(O26,'Memória de Cálculo'!$B$167:$H$202,7,FALSE)+VLOOKUP(O27,'Memória de Cálculo'!$B$167:$H$202,7,FALSE)))</f>
        <v>2.4714296247142963E-2</v>
      </c>
      <c r="P25" s="191">
        <f>IF(P26=0,0,IF(P27=0,VLOOKUP(P26,'Memória de Cálculo'!$B$167:$H$202,7,FALSE),VLOOKUP(P26,'Memória de Cálculo'!$B$167:$H$202,7,FALSE)+VLOOKUP(P27,'Memória de Cálculo'!$B$167:$H$202,7,FALSE)))</f>
        <v>3.0037602300376023E-2</v>
      </c>
      <c r="Q25" s="191">
        <f>IF(Q26=0,0,IF(Q27=0,VLOOKUP(Q26,'Memória de Cálculo'!$B$167:$H$202,7,FALSE),VLOOKUP(Q26,'Memória de Cálculo'!$B$167:$H$202,7,FALSE)+VLOOKUP(Q27,'Memória de Cálculo'!$B$167:$H$202,7,FALSE)))</f>
        <v>3.1305758313057583E-2</v>
      </c>
      <c r="R25" s="191">
        <f>IF(R26=0,0,IF(R27=0,VLOOKUP(R26,'Memória de Cálculo'!$B$167:$H$202,7,FALSE),VLOOKUP(R26,'Memória de Cálculo'!$B$167:$H$202,7,FALSE)+VLOOKUP(R27,'Memória de Cálculo'!$B$167:$H$202,7,FALSE)))</f>
        <v>3.1305758313057583E-2</v>
      </c>
      <c r="S25" s="191">
        <f>IF(S26=0,0,IF(S27=0,VLOOKUP(S26,'Memória de Cálculo'!$B$167:$H$202,7,FALSE),VLOOKUP(S26,'Memória de Cálculo'!$B$167:$H$202,7,FALSE)+VLOOKUP(S27,'Memória de Cálculo'!$B$167:$H$202,7,FALSE)))</f>
        <v>3.1305758313057583E-2</v>
      </c>
      <c r="T25" s="191">
        <f>IF(T26=0,0,IF(T27=0,VLOOKUP(T26,'Memória de Cálculo'!$B$167:$H$202,7,FALSE),VLOOKUP(T26,'Memória de Cálculo'!$B$167:$H$202,7,FALSE)+VLOOKUP(T27,'Memória de Cálculo'!$B$167:$H$202,7,FALSE)))</f>
        <v>3.1305758313057583E-2</v>
      </c>
      <c r="U25" s="191">
        <f>IF(U26=0,0,IF(U27=0,VLOOKUP(U26,'Memória de Cálculo'!$B$167:$H$202,7,FALSE),VLOOKUP(U26,'Memória de Cálculo'!$B$167:$H$202,7,FALSE)+VLOOKUP(U27,'Memória de Cálculo'!$B$167:$H$202,7,FALSE)))</f>
        <v>2.0364226203642262E-2</v>
      </c>
      <c r="V25" s="191">
        <f>IF(V26=0,0,IF(V27=0,VLOOKUP(V26,'Memória de Cálculo'!$B$167:$H$202,7,FALSE),VLOOKUP(V26,'Memória de Cálculo'!$B$167:$H$202,7,FALSE)+VLOOKUP(V27,'Memória de Cálculo'!$B$167:$H$202,7,FALSE)))</f>
        <v>7.1518100715181002E-3</v>
      </c>
      <c r="W25" s="191">
        <f>IF(W26=0,0,IF(W27=0,VLOOKUP(W26,'Memória de Cálculo'!$B$167:$H$202,7,FALSE),VLOOKUP(W26,'Memória de Cálculo'!$B$167:$H$202,7,FALSE)+VLOOKUP(W27,'Memória de Cálculo'!$B$167:$H$202,7,FALSE)))</f>
        <v>2.0773427707734278E-2</v>
      </c>
      <c r="X25" s="191">
        <f>IF(X26=0,0,IF(X27=0,VLOOKUP(X26,'Memória de Cálculo'!$B$167:$H$202,7,FALSE),VLOOKUP(X26,'Memória de Cálculo'!$B$167:$H$202,7,FALSE)+VLOOKUP(X27,'Memória de Cálculo'!$B$167:$H$202,7,FALSE)))</f>
        <v>2.8293887782938877E-2</v>
      </c>
      <c r="Y25" s="191">
        <f>IF(Y26=0,0,IF(Y27=0,VLOOKUP(Y26,'Memória de Cálculo'!$B$167:$H$202,7,FALSE),VLOOKUP(Y26,'Memória de Cálculo'!$B$167:$H$202,7,FALSE)+VLOOKUP(Y27,'Memória de Cálculo'!$B$167:$H$202,7,FALSE)))</f>
        <v>2.8293887782938877E-2</v>
      </c>
      <c r="Z25" s="191">
        <f>IF(Z26=0,0,IF(Z27=0,VLOOKUP(Z26,'Memória de Cálculo'!$B$167:$H$202,7,FALSE),VLOOKUP(Z26,'Memória de Cálculo'!$B$167:$H$202,7,FALSE)+VLOOKUP(Z27,'Memória de Cálculo'!$B$167:$H$202,7,FALSE)))</f>
        <v>2.8293887782938877E-2</v>
      </c>
      <c r="AA25" s="191">
        <f>IF(AA26=0,0,IF(AA27=0,VLOOKUP(AA26,'Memória de Cálculo'!$B$167:$H$202,7,FALSE),VLOOKUP(AA26,'Memória de Cálculo'!$B$167:$H$202,7,FALSE)+VLOOKUP(AA27,'Memória de Cálculo'!$B$167:$H$202,7,FALSE)))</f>
        <v>2.224188355575217E-2</v>
      </c>
      <c r="AB25" s="191">
        <f>IF(AB26=0,0,IF(AB27=0,VLOOKUP(AB26,'Memória de Cálculo'!$B$167:$H$202,7,FALSE),VLOOKUP(AB26,'Memória de Cálculo'!$B$167:$H$202,7,FALSE)+VLOOKUP(AB27,'Memória de Cálculo'!$B$167:$H$202,7,FALSE)))</f>
        <v>2.1430853547641869E-2</v>
      </c>
      <c r="AC25" s="191">
        <f>IF(AC26=0,0,IF(AC27=0,VLOOKUP(AC26,'Memória de Cálculo'!$B$167:$H$202,7,FALSE),VLOOKUP(AC26,'Memória de Cálculo'!$B$167:$H$202,7,FALSE)+VLOOKUP(AC27,'Memória de Cálculo'!$B$167:$H$202,7,FALSE)))</f>
        <v>2.1430853547641869E-2</v>
      </c>
      <c r="AD25" s="191">
        <f>IF(AD26=0,0,IF(AD27=0,VLOOKUP(AD26,'Memória de Cálculo'!$B$167:$H$202,7,FALSE),VLOOKUP(AD26,'Memória de Cálculo'!$B$167:$H$202,7,FALSE)+VLOOKUP(AD27,'Memória de Cálculo'!$B$167:$H$202,7,FALSE)))</f>
        <v>2.0460075204600751E-2</v>
      </c>
      <c r="AE25" s="191">
        <f>IF(AE26=0,0,IF(AE27=0,VLOOKUP(AE26,'Memória de Cálculo'!$B$167:$H$202,7,FALSE),VLOOKUP(AE26,'Memória de Cálculo'!$B$167:$H$202,7,FALSE)+VLOOKUP(AE27,'Memória de Cálculo'!$B$167:$H$202,7,FALSE)))</f>
        <v>2.0460075204600751E-2</v>
      </c>
      <c r="AF25" s="191">
        <f>IF(AF26=0,0,IF(AF27=0,VLOOKUP(AF26,'Memória de Cálculo'!$B$167:$H$202,7,FALSE),VLOOKUP(AF26,'Memória de Cálculo'!$B$167:$H$202,7,FALSE)+VLOOKUP(AF27,'Memória de Cálculo'!$B$167:$H$202,7,FALSE)))</f>
        <v>8.5526800855268009E-3</v>
      </c>
      <c r="AG25" s="191">
        <f>IF(AG26=0,0,IF(AG27=0,VLOOKUP(AG26,'Memória de Cálculo'!$B$167:$H$202,7,FALSE),VLOOKUP(AG26,'Memória de Cálculo'!$B$167:$H$202,7,FALSE)+VLOOKUP(AG27,'Memória de Cálculo'!$B$167:$H$202,7,FALSE)))</f>
        <v>8.1103000811030002E-3</v>
      </c>
      <c r="AH25" s="191">
        <f>IF(AH26=0,0,IF(AH27=0,VLOOKUP(AH26,'Memória de Cálculo'!$B$167:$H$202,7,FALSE),VLOOKUP(AH26,'Memória de Cálculo'!$B$167:$H$202,7,FALSE)+VLOOKUP(AH27,'Memória de Cálculo'!$B$167:$H$202,7,FALSE)))</f>
        <v>7.7416500774165004E-3</v>
      </c>
      <c r="AI25" s="191">
        <f>IF(AI26=0,0,IF(AI27=0,VLOOKUP(AI26,'Memória de Cálculo'!$B$167:$H$202,7,FALSE),VLOOKUP(AI26,'Memória de Cálculo'!$B$167:$H$202,7,FALSE)+VLOOKUP(AI27,'Memória de Cálculo'!$B$167:$H$202,7,FALSE)))</f>
        <v>6.8568900685689006E-3</v>
      </c>
      <c r="AJ25" s="191">
        <f>IF(AJ26=0,0,IF(AJ27=0,VLOOKUP(AJ26,'Memória de Cálculo'!$B$167:$H$202,7,FALSE),VLOOKUP(AJ26,'Memória de Cálculo'!$B$167:$H$202,7,FALSE)+VLOOKUP(AJ27,'Memória de Cálculo'!$B$167:$H$202,7,FALSE)))</f>
        <v>6.8568900685689006E-3</v>
      </c>
      <c r="AK25" s="191">
        <f>IF(AK26=0,0,IF(AK27=0,VLOOKUP(AK26,'Memória de Cálculo'!$B$167:$H$202,7,FALSE),VLOOKUP(AK26,'Memória de Cálculo'!$B$167:$H$202,7,FALSE)+VLOOKUP(AK27,'Memória de Cálculo'!$B$167:$H$202,7,FALSE)))</f>
        <v>1.2398928457322619E-2</v>
      </c>
      <c r="AL25" s="191">
        <f>IF(AL26=0,0,IF(AL27=0,VLOOKUP(AL26,'Memória de Cálculo'!$B$167:$H$202,7,FALSE),VLOOKUP(AL26,'Memória de Cálculo'!$B$167:$H$202,7,FALSE)+VLOOKUP(AL27,'Memória de Cálculo'!$B$167:$H$202,7,FALSE)))</f>
        <v>1.2398928457322619E-2</v>
      </c>
      <c r="AM25" s="191">
        <f>IF(AM26=0,0,IF(AM27=0,VLOOKUP(AM26,'Memória de Cálculo'!$B$167:$H$202,7,FALSE),VLOOKUP(AM26,'Memória de Cálculo'!$B$167:$H$202,7,FALSE)+VLOOKUP(AM27,'Memória de Cálculo'!$B$167:$H$202,7,FALSE)))</f>
        <v>1.3664626803312936E-2</v>
      </c>
      <c r="AN25" s="191">
        <f>IF(AN26=0,0,IF(AN27=0,VLOOKUP(AN26,'Memória de Cálculo'!$B$167:$H$202,7,FALSE),VLOOKUP(AN26,'Memória de Cálculo'!$B$167:$H$202,7,FALSE)+VLOOKUP(AN27,'Memória de Cálculo'!$B$167:$H$202,7,FALSE)))</f>
        <v>1.5016343483496768E-2</v>
      </c>
      <c r="AO25" s="191">
        <f>IF(AO26=0,0,IF(AO27=0,VLOOKUP(AO26,'Memória de Cálculo'!$B$167:$H$202,7,FALSE),VLOOKUP(AO26,'Memória de Cálculo'!$B$167:$H$202,7,FALSE)+VLOOKUP(AO27,'Memória de Cálculo'!$B$167:$H$202,7,FALSE)))</f>
        <v>1.5016343483496768E-2</v>
      </c>
      <c r="AP25" s="191">
        <f>IF(AP26=0,0,IF(AP27=0,VLOOKUP(AP26,'Memória de Cálculo'!$B$167:$H$202,7,FALSE),VLOOKUP(AP26,'Memória de Cálculo'!$B$167:$H$202,7,FALSE)+VLOOKUP(AP27,'Memória de Cálculo'!$B$167:$H$202,7,FALSE)))</f>
        <v>9.1179434245127686E-3</v>
      </c>
      <c r="AQ25" s="191">
        <f>IF(AQ26=0,0,IF(AQ27=0,VLOOKUP(AQ26,'Memória de Cálculo'!$B$167:$H$202,7,FALSE),VLOOKUP(AQ26,'Memória de Cálculo'!$B$167:$H$202,7,FALSE)+VLOOKUP(AQ27,'Memória de Cálculo'!$B$167:$H$202,7,FALSE)))</f>
        <v>1.770748851040822E-2</v>
      </c>
      <c r="AR25" s="191">
        <f>IF(AR26=0,0,IF(AR27=0,VLOOKUP(AR26,'Memória de Cálculo'!$B$167:$H$202,7,FALSE),VLOOKUP(AR26,'Memória de Cálculo'!$B$167:$H$202,7,FALSE)+VLOOKUP(AR27,'Memória de Cálculo'!$B$167:$H$202,7,FALSE)))</f>
        <v>1.770748851040822E-2</v>
      </c>
      <c r="AS25" s="191">
        <f>IF(AS26=0,0,IF(AS27=0,VLOOKUP(AS26,'Memória de Cálculo'!$B$167:$H$202,7,FALSE),VLOOKUP(AS26,'Memória de Cálculo'!$B$167:$H$202,7,FALSE)+VLOOKUP(AS27,'Memória de Cálculo'!$B$167:$H$202,7,FALSE)))</f>
        <v>1.5974833493081667E-2</v>
      </c>
      <c r="AT25" s="191">
        <f>IF(AT26=0,0,IF(AT27=0,VLOOKUP(AT26,'Memória de Cálculo'!$B$167:$H$202,7,FALSE),VLOOKUP(AT26,'Memória de Cálculo'!$B$167:$H$202,7,FALSE)+VLOOKUP(AT27,'Memória de Cálculo'!$B$167:$H$202,7,FALSE)))</f>
        <v>1.5974833493081667E-2</v>
      </c>
      <c r="AU25" s="191">
        <f>IF(AU26=0,0,IF(AU27=0,VLOOKUP(AU26,'Memória de Cálculo'!$B$167:$H$202,7,FALSE),VLOOKUP(AU26,'Memória de Cálculo'!$B$167:$H$202,7,FALSE)+VLOOKUP(AU27,'Memória de Cálculo'!$B$167:$H$202,7,FALSE)))</f>
        <v>1.1108653444419867E-2</v>
      </c>
      <c r="AV25" s="191">
        <f>IF(AV26=0,0,IF(AV27=0,VLOOKUP(AV26,'Memória de Cálculo'!$B$167:$H$202,7,FALSE),VLOOKUP(AV26,'Memória de Cálculo'!$B$167:$H$202,7,FALSE)+VLOOKUP(AV27,'Memória de Cálculo'!$B$167:$H$202,7,FALSE)))</f>
        <v>0</v>
      </c>
      <c r="AW25" s="191">
        <f>IF(AW26=0,0,IF(AW27=0,VLOOKUP(AW26,'Memória de Cálculo'!$B$167:$H$202,7,FALSE),VLOOKUP(AW26,'Memória de Cálculo'!$B$167:$H$202,7,FALSE)+VLOOKUP(AW27,'Memória de Cálculo'!$B$167:$H$202,7,FALSE)))</f>
        <v>0</v>
      </c>
      <c r="AX25" s="191">
        <f>IF(AX26=0,0,IF(AX27=0,VLOOKUP(AX26,'Memória de Cálculo'!$B$167:$H$202,7,FALSE),VLOOKUP(AX26,'Memória de Cálculo'!$B$167:$H$202,7,FALSE)+VLOOKUP(AX27,'Memória de Cálculo'!$B$167:$H$202,7,FALSE)))</f>
        <v>1.2239180122391802E-2</v>
      </c>
      <c r="AY25" s="191">
        <f>IF(AY26=0,0,IF(AY27=0,VLOOKUP(AY26,'Memória de Cálculo'!$B$167:$H$202,7,FALSE),VLOOKUP(AY26,'Memória de Cálculo'!$B$167:$H$202,7,FALSE)+VLOOKUP(AY27,'Memória de Cálculo'!$B$167:$H$202,7,FALSE)))</f>
        <v>1.2239180122391802E-2</v>
      </c>
      <c r="AZ25" s="191">
        <f>IF(AZ26=0,0,IF(AZ27=0,VLOOKUP(AZ26,'Memória de Cálculo'!$B$167:$H$202,7,FALSE),VLOOKUP(AZ26,'Memória de Cálculo'!$B$167:$H$202,7,FALSE)+VLOOKUP(AZ27,'Memória de Cálculo'!$B$167:$H$202,7,FALSE)))</f>
        <v>1.2239180122391802E-2</v>
      </c>
      <c r="BA25" s="191">
        <f>IF(BA26=0,0,IF(BA27=0,VLOOKUP(BA26,'Memória de Cálculo'!$B$167:$H$202,7,FALSE),VLOOKUP(BA26,'Memória de Cálculo'!$B$167:$H$202,7,FALSE)+VLOOKUP(BA27,'Memória de Cálculo'!$B$167:$H$202,7,FALSE)))</f>
        <v>2.5529012755290129E-2</v>
      </c>
      <c r="BB25" s="191">
        <f>IF(BB26=0,0,IF(BB27=0,VLOOKUP(BB26,'Memória de Cálculo'!$B$167:$H$202,7,FALSE),VLOOKUP(BB26,'Memória de Cálculo'!$B$167:$H$202,7,FALSE)+VLOOKUP(BB27,'Memória de Cálculo'!$B$167:$H$202,7,FALSE)))</f>
        <v>2.5529012755290129E-2</v>
      </c>
      <c r="BC25" s="191">
        <f>IF(BC26=0,0,IF(BC27=0,VLOOKUP(BC26,'Memória de Cálculo'!$B$167:$H$202,7,FALSE),VLOOKUP(BC26,'Memória de Cálculo'!$B$167:$H$202,7,FALSE)+VLOOKUP(BC27,'Memória de Cálculo'!$B$167:$H$202,7,FALSE)))</f>
        <v>2.7316965273169652E-2</v>
      </c>
      <c r="BD25" s="191">
        <f>IF(BD26=0,0,IF(BD27=0,VLOOKUP(BD26,'Memória de Cálculo'!$B$167:$H$202,7,FALSE),VLOOKUP(BD26,'Memória de Cálculo'!$B$167:$H$202,7,FALSE)+VLOOKUP(BD27,'Memória de Cálculo'!$B$167:$H$202,7,FALSE)))</f>
        <v>2.7316965273169652E-2</v>
      </c>
      <c r="BE25" s="191">
        <f>IF(BE26=0,0,IF(BE27=0,VLOOKUP(BE26,'Memória de Cálculo'!$B$167:$H$202,7,FALSE),VLOOKUP(BE26,'Memória de Cálculo'!$B$167:$H$202,7,FALSE)+VLOOKUP(BE27,'Memória de Cálculo'!$B$167:$H$202,7,FALSE)))</f>
        <v>2.0220452702204527E-2</v>
      </c>
      <c r="BF25" s="191">
        <f>IF(BF26=0,0,IF(BF27=0,VLOOKUP(BF26,'Memória de Cálculo'!$B$167:$H$202,7,FALSE),VLOOKUP(BF26,'Memória de Cálculo'!$B$167:$H$202,7,FALSE)+VLOOKUP(BF27,'Memória de Cálculo'!$B$167:$H$202,7,FALSE)))</f>
        <v>2.0220452702204527E-2</v>
      </c>
      <c r="BG25" s="191">
        <f>IF(BG26=0,0,IF(BG27=0,VLOOKUP(BG26,'Memória de Cálculo'!$B$167:$H$202,7,FALSE),VLOOKUP(BG26,'Memória de Cálculo'!$B$167:$H$202,7,FALSE)+VLOOKUP(BG27,'Memória de Cálculo'!$B$167:$H$202,7,FALSE)))</f>
        <v>1.1575610115756101E-2</v>
      </c>
      <c r="BH25" s="191">
        <f>IF(BH26=0,0,IF(BH27=0,VLOOKUP(BH26,'Memória de Cálculo'!$B$167:$H$202,7,FALSE),VLOOKUP(BH26,'Memória de Cálculo'!$B$167:$H$202,7,FALSE)+VLOOKUP(BH27,'Memória de Cálculo'!$B$167:$H$202,7,FALSE)))</f>
        <v>1.1206960112069602E-2</v>
      </c>
      <c r="BI25" s="191">
        <f>IF(BI26=0,0,IF(BI27=0,VLOOKUP(BI26,'Memória de Cálculo'!$B$167:$H$202,7,FALSE),VLOOKUP(BI26,'Memória de Cálculo'!$B$167:$H$202,7,FALSE)+VLOOKUP(BI27,'Memória de Cálculo'!$B$167:$H$202,7,FALSE)))</f>
        <v>5.8246700582467005E-3</v>
      </c>
      <c r="BJ25" s="191">
        <f>IF(BJ26=0,0,IF(BJ27=0,VLOOKUP(BJ26,'Memória de Cálculo'!$B$167:$H$202,7,FALSE),VLOOKUP(BJ26,'Memória de Cálculo'!$B$167:$H$202,7,FALSE)+VLOOKUP(BJ27,'Memória de Cálculo'!$B$167:$H$202,7,FALSE)))</f>
        <v>0</v>
      </c>
      <c r="BK25" s="191">
        <f>IF(BK26=0,0,IF(BK27=0,VLOOKUP(BK26,'Memória de Cálculo'!$B$167:$H$202,7,FALSE),VLOOKUP(BK26,'Memória de Cálculo'!$B$167:$H$202,7,FALSE)+VLOOKUP(BK27,'Memória de Cálculo'!$B$167:$H$202,7,FALSE)))</f>
        <v>0</v>
      </c>
      <c r="BL25" s="191">
        <f>IF(BL26=0,0,IF(BL27=0,VLOOKUP(BL26,'Memória de Cálculo'!$B$167:$H$202,7,FALSE),VLOOKUP(BL26,'Memória de Cálculo'!$B$167:$H$202,7,FALSE)+VLOOKUP(BL27,'Memória de Cálculo'!$B$167:$H$202,7,FALSE)))</f>
        <v>0</v>
      </c>
      <c r="BM25" s="189"/>
    </row>
    <row r="26" spans="1:67" s="190" customFormat="1" ht="24.9" hidden="1" customHeight="1" x14ac:dyDescent="0.25">
      <c r="A26" s="381"/>
      <c r="B26" s="384"/>
      <c r="C26" s="378" t="s">
        <v>861</v>
      </c>
      <c r="D26" s="387"/>
      <c r="E26" s="348"/>
      <c r="F26" s="348"/>
      <c r="G26" s="348" t="s">
        <v>782</v>
      </c>
      <c r="H26" s="348" t="s">
        <v>779</v>
      </c>
      <c r="I26" s="348" t="s">
        <v>779</v>
      </c>
      <c r="J26" s="348" t="s">
        <v>779</v>
      </c>
      <c r="K26" s="348" t="s">
        <v>779</v>
      </c>
      <c r="L26" s="348" t="s">
        <v>784</v>
      </c>
      <c r="M26" s="348" t="s">
        <v>785</v>
      </c>
      <c r="N26" s="348" t="s">
        <v>785</v>
      </c>
      <c r="O26" s="348" t="s">
        <v>785</v>
      </c>
      <c r="P26" s="348" t="s">
        <v>785</v>
      </c>
      <c r="Q26" s="348" t="s">
        <v>808</v>
      </c>
      <c r="R26" s="348" t="s">
        <v>808</v>
      </c>
      <c r="S26" s="348" t="s">
        <v>808</v>
      </c>
      <c r="T26" s="348" t="s">
        <v>808</v>
      </c>
      <c r="U26" s="348" t="s">
        <v>793</v>
      </c>
      <c r="V26" s="348" t="s">
        <v>786</v>
      </c>
      <c r="W26" s="348" t="s">
        <v>786</v>
      </c>
      <c r="X26" s="348" t="s">
        <v>788</v>
      </c>
      <c r="Y26" s="348" t="s">
        <v>788</v>
      </c>
      <c r="Z26" s="348" t="s">
        <v>788</v>
      </c>
      <c r="AA26" s="348" t="s">
        <v>789</v>
      </c>
      <c r="AB26" s="348" t="s">
        <v>790</v>
      </c>
      <c r="AC26" s="348" t="s">
        <v>790</v>
      </c>
      <c r="AD26" s="348" t="s">
        <v>791</v>
      </c>
      <c r="AE26" s="348" t="s">
        <v>791</v>
      </c>
      <c r="AF26" s="348" t="s">
        <v>794</v>
      </c>
      <c r="AG26" s="348" t="s">
        <v>794</v>
      </c>
      <c r="AH26" s="348" t="s">
        <v>797</v>
      </c>
      <c r="AI26" s="348" t="s">
        <v>798</v>
      </c>
      <c r="AJ26" s="348" t="s">
        <v>798</v>
      </c>
      <c r="AK26" s="348" t="s">
        <v>801</v>
      </c>
      <c r="AL26" s="348" t="s">
        <v>801</v>
      </c>
      <c r="AM26" s="348" t="s">
        <v>801</v>
      </c>
      <c r="AN26" s="348" t="s">
        <v>803</v>
      </c>
      <c r="AO26" s="348" t="s">
        <v>803</v>
      </c>
      <c r="AP26" s="348" t="s">
        <v>805</v>
      </c>
      <c r="AQ26" s="348" t="s">
        <v>806</v>
      </c>
      <c r="AR26" s="348" t="s">
        <v>806</v>
      </c>
      <c r="AS26" s="348" t="s">
        <v>809</v>
      </c>
      <c r="AT26" s="348" t="s">
        <v>809</v>
      </c>
      <c r="AU26" s="348" t="s">
        <v>809</v>
      </c>
      <c r="AV26" s="348"/>
      <c r="AW26" s="348"/>
      <c r="AX26" s="348" t="s">
        <v>811</v>
      </c>
      <c r="AY26" s="348" t="s">
        <v>811</v>
      </c>
      <c r="AZ26" s="348" t="s">
        <v>811</v>
      </c>
      <c r="BA26" s="348" t="s">
        <v>812</v>
      </c>
      <c r="BB26" s="348" t="s">
        <v>812</v>
      </c>
      <c r="BC26" s="348" t="s">
        <v>814</v>
      </c>
      <c r="BD26" s="348" t="s">
        <v>814</v>
      </c>
      <c r="BE26" s="348" t="s">
        <v>814</v>
      </c>
      <c r="BF26" s="348" t="s">
        <v>814</v>
      </c>
      <c r="BG26" s="348" t="s">
        <v>815</v>
      </c>
      <c r="BH26" s="348" t="s">
        <v>816</v>
      </c>
      <c r="BI26" s="348" t="s">
        <v>816</v>
      </c>
      <c r="BJ26" s="348"/>
      <c r="BK26" s="348"/>
      <c r="BL26" s="348"/>
      <c r="BM26" s="189"/>
    </row>
    <row r="27" spans="1:67" s="190" customFormat="1" ht="24.9" hidden="1" customHeight="1" x14ac:dyDescent="0.25">
      <c r="A27" s="381"/>
      <c r="B27" s="384"/>
      <c r="C27" s="379"/>
      <c r="D27" s="387"/>
      <c r="E27" s="337"/>
      <c r="F27" s="337"/>
      <c r="G27" s="337"/>
      <c r="H27" s="337" t="s">
        <v>782</v>
      </c>
      <c r="I27" s="337" t="s">
        <v>782</v>
      </c>
      <c r="J27" s="337" t="s">
        <v>784</v>
      </c>
      <c r="K27" s="337" t="s">
        <v>783</v>
      </c>
      <c r="L27" s="337" t="s">
        <v>783</v>
      </c>
      <c r="M27" s="337" t="s">
        <v>783</v>
      </c>
      <c r="N27" s="337" t="s">
        <v>783</v>
      </c>
      <c r="O27" s="337" t="s">
        <v>783</v>
      </c>
      <c r="P27" s="337" t="s">
        <v>808</v>
      </c>
      <c r="Q27" s="337" t="s">
        <v>793</v>
      </c>
      <c r="R27" s="337" t="s">
        <v>793</v>
      </c>
      <c r="S27" s="337" t="s">
        <v>793</v>
      </c>
      <c r="T27" s="337" t="s">
        <v>793</v>
      </c>
      <c r="U27" s="337" t="s">
        <v>786</v>
      </c>
      <c r="V27" s="337" t="s">
        <v>787</v>
      </c>
      <c r="W27" s="337" t="s">
        <v>788</v>
      </c>
      <c r="X27" s="337" t="s">
        <v>789</v>
      </c>
      <c r="Y27" s="337" t="s">
        <v>789</v>
      </c>
      <c r="Z27" s="337" t="s">
        <v>789</v>
      </c>
      <c r="AA27" s="337" t="s">
        <v>790</v>
      </c>
      <c r="AB27" s="337" t="s">
        <v>791</v>
      </c>
      <c r="AC27" s="337" t="s">
        <v>791</v>
      </c>
      <c r="AD27" s="337" t="s">
        <v>792</v>
      </c>
      <c r="AE27" s="337" t="s">
        <v>792</v>
      </c>
      <c r="AF27" s="337" t="s">
        <v>795</v>
      </c>
      <c r="AG27" s="337" t="s">
        <v>796</v>
      </c>
      <c r="AH27" s="337" t="s">
        <v>798</v>
      </c>
      <c r="AI27" s="337" t="s">
        <v>799</v>
      </c>
      <c r="AJ27" s="337" t="s">
        <v>800</v>
      </c>
      <c r="AK27" s="337" t="s">
        <v>802</v>
      </c>
      <c r="AL27" s="337" t="s">
        <v>802</v>
      </c>
      <c r="AM27" s="337" t="s">
        <v>803</v>
      </c>
      <c r="AN27" s="337" t="s">
        <v>804</v>
      </c>
      <c r="AO27" s="337" t="s">
        <v>804</v>
      </c>
      <c r="AP27" s="337" t="s">
        <v>806</v>
      </c>
      <c r="AQ27" s="337" t="s">
        <v>807</v>
      </c>
      <c r="AR27" s="337" t="s">
        <v>807</v>
      </c>
      <c r="AS27" s="337" t="s">
        <v>810</v>
      </c>
      <c r="AT27" s="337" t="s">
        <v>810</v>
      </c>
      <c r="AU27" s="337"/>
      <c r="AV27" s="337"/>
      <c r="AW27" s="337"/>
      <c r="AX27" s="337"/>
      <c r="AY27" s="337"/>
      <c r="AZ27" s="337"/>
      <c r="BA27" s="337" t="s">
        <v>811</v>
      </c>
      <c r="BB27" s="337" t="s">
        <v>811</v>
      </c>
      <c r="BC27" s="337" t="s">
        <v>812</v>
      </c>
      <c r="BD27" s="337" t="s">
        <v>812</v>
      </c>
      <c r="BE27" s="337" t="s">
        <v>813</v>
      </c>
      <c r="BF27" s="337" t="s">
        <v>813</v>
      </c>
      <c r="BG27" s="337" t="s">
        <v>813</v>
      </c>
      <c r="BH27" s="337" t="s">
        <v>815</v>
      </c>
      <c r="BI27" s="337"/>
      <c r="BJ27" s="337"/>
      <c r="BK27" s="337"/>
      <c r="BL27" s="337"/>
      <c r="BM27" s="189"/>
    </row>
    <row r="28" spans="1:67" s="100" customFormat="1" ht="24.9" customHeight="1" x14ac:dyDescent="0.25">
      <c r="A28" s="382"/>
      <c r="B28" s="385"/>
      <c r="C28" s="334" t="s">
        <v>14</v>
      </c>
      <c r="D28" s="388"/>
      <c r="E28" s="343">
        <f t="shared" ref="E28:AJ28" si="36">E25*$D$25</f>
        <v>0</v>
      </c>
      <c r="F28" s="343">
        <f t="shared" si="36"/>
        <v>0</v>
      </c>
      <c r="G28" s="343">
        <f t="shared" si="36"/>
        <v>0</v>
      </c>
      <c r="H28" s="343">
        <f t="shared" si="36"/>
        <v>0</v>
      </c>
      <c r="I28" s="343">
        <f t="shared" si="36"/>
        <v>0</v>
      </c>
      <c r="J28" s="343">
        <f t="shared" si="36"/>
        <v>0</v>
      </c>
      <c r="K28" s="343">
        <f t="shared" si="36"/>
        <v>0</v>
      </c>
      <c r="L28" s="343">
        <f t="shared" si="36"/>
        <v>0</v>
      </c>
      <c r="M28" s="343">
        <f t="shared" si="36"/>
        <v>0</v>
      </c>
      <c r="N28" s="343">
        <f t="shared" si="36"/>
        <v>0</v>
      </c>
      <c r="O28" s="343">
        <f t="shared" si="36"/>
        <v>0</v>
      </c>
      <c r="P28" s="343">
        <f t="shared" si="36"/>
        <v>0</v>
      </c>
      <c r="Q28" s="343">
        <f t="shared" si="36"/>
        <v>0</v>
      </c>
      <c r="R28" s="343">
        <f t="shared" si="36"/>
        <v>0</v>
      </c>
      <c r="S28" s="343">
        <f t="shared" si="36"/>
        <v>0</v>
      </c>
      <c r="T28" s="343">
        <f t="shared" si="36"/>
        <v>0</v>
      </c>
      <c r="U28" s="343">
        <f t="shared" si="36"/>
        <v>0</v>
      </c>
      <c r="V28" s="343">
        <f t="shared" si="36"/>
        <v>0</v>
      </c>
      <c r="W28" s="343">
        <f t="shared" si="36"/>
        <v>0</v>
      </c>
      <c r="X28" s="343">
        <f t="shared" si="36"/>
        <v>0</v>
      </c>
      <c r="Y28" s="343">
        <f t="shared" si="36"/>
        <v>0</v>
      </c>
      <c r="Z28" s="343">
        <f t="shared" si="36"/>
        <v>0</v>
      </c>
      <c r="AA28" s="343">
        <f t="shared" si="36"/>
        <v>0</v>
      </c>
      <c r="AB28" s="343">
        <f t="shared" si="36"/>
        <v>0</v>
      </c>
      <c r="AC28" s="343">
        <f t="shared" si="36"/>
        <v>0</v>
      </c>
      <c r="AD28" s="343">
        <f t="shared" si="36"/>
        <v>0</v>
      </c>
      <c r="AE28" s="343">
        <f t="shared" si="36"/>
        <v>0</v>
      </c>
      <c r="AF28" s="343">
        <f t="shared" si="36"/>
        <v>0</v>
      </c>
      <c r="AG28" s="343">
        <f t="shared" si="36"/>
        <v>0</v>
      </c>
      <c r="AH28" s="343">
        <f t="shared" si="36"/>
        <v>0</v>
      </c>
      <c r="AI28" s="343">
        <f t="shared" si="36"/>
        <v>0</v>
      </c>
      <c r="AJ28" s="343">
        <f t="shared" si="36"/>
        <v>0</v>
      </c>
      <c r="AK28" s="343">
        <f t="shared" ref="AK28:BL28" si="37">AK25*$D$25</f>
        <v>0</v>
      </c>
      <c r="AL28" s="343">
        <f t="shared" si="37"/>
        <v>0</v>
      </c>
      <c r="AM28" s="343">
        <f t="shared" si="37"/>
        <v>0</v>
      </c>
      <c r="AN28" s="343">
        <f t="shared" si="37"/>
        <v>0</v>
      </c>
      <c r="AO28" s="343">
        <f t="shared" si="37"/>
        <v>0</v>
      </c>
      <c r="AP28" s="343">
        <f t="shared" si="37"/>
        <v>0</v>
      </c>
      <c r="AQ28" s="343">
        <f t="shared" si="37"/>
        <v>0</v>
      </c>
      <c r="AR28" s="343">
        <f t="shared" si="37"/>
        <v>0</v>
      </c>
      <c r="AS28" s="343">
        <f t="shared" si="37"/>
        <v>0</v>
      </c>
      <c r="AT28" s="343">
        <f t="shared" si="37"/>
        <v>0</v>
      </c>
      <c r="AU28" s="343">
        <f t="shared" si="37"/>
        <v>0</v>
      </c>
      <c r="AV28" s="343">
        <f t="shared" si="37"/>
        <v>0</v>
      </c>
      <c r="AW28" s="343">
        <f t="shared" si="37"/>
        <v>0</v>
      </c>
      <c r="AX28" s="343">
        <f t="shared" si="37"/>
        <v>0</v>
      </c>
      <c r="AY28" s="343">
        <f t="shared" si="37"/>
        <v>0</v>
      </c>
      <c r="AZ28" s="343">
        <f t="shared" si="37"/>
        <v>0</v>
      </c>
      <c r="BA28" s="343">
        <f t="shared" si="37"/>
        <v>0</v>
      </c>
      <c r="BB28" s="343">
        <f t="shared" si="37"/>
        <v>0</v>
      </c>
      <c r="BC28" s="343">
        <f t="shared" si="37"/>
        <v>0</v>
      </c>
      <c r="BD28" s="343">
        <f t="shared" si="37"/>
        <v>0</v>
      </c>
      <c r="BE28" s="343">
        <f t="shared" si="37"/>
        <v>0</v>
      </c>
      <c r="BF28" s="343">
        <f t="shared" si="37"/>
        <v>0</v>
      </c>
      <c r="BG28" s="343">
        <f t="shared" si="37"/>
        <v>0</v>
      </c>
      <c r="BH28" s="343">
        <f t="shared" si="37"/>
        <v>0</v>
      </c>
      <c r="BI28" s="343">
        <f t="shared" si="37"/>
        <v>0</v>
      </c>
      <c r="BJ28" s="343">
        <f t="shared" si="37"/>
        <v>0</v>
      </c>
      <c r="BK28" s="343">
        <f t="shared" si="37"/>
        <v>0</v>
      </c>
      <c r="BL28" s="343">
        <f t="shared" si="37"/>
        <v>0</v>
      </c>
      <c r="BM28" s="344"/>
      <c r="BN28" s="100">
        <f>SUM(E28:BL28)</f>
        <v>0</v>
      </c>
      <c r="BO28" s="100">
        <f>BN28-D25</f>
        <v>0</v>
      </c>
    </row>
    <row r="29" spans="1:67" s="190" customFormat="1" ht="24.9" customHeight="1" x14ac:dyDescent="0.25">
      <c r="A29" s="380" t="s">
        <v>41</v>
      </c>
      <c r="B29" s="383" t="str">
        <f>'Planilha Orçamentária'!D12</f>
        <v>Cadastro Social</v>
      </c>
      <c r="C29" s="188" t="s">
        <v>13</v>
      </c>
      <c r="D29" s="386">
        <f>'Planilha Orçamentária'!I12</f>
        <v>0</v>
      </c>
      <c r="E29" s="191">
        <f>IF(E30=0,0,IF(E31=0,VLOOKUP(E30,'Memória de Cálculo'!$B$206:$H$241,7,FALSE),VLOOKUP(E30,'Memória de Cálculo'!$B$206:$H$241,7,FALSE)+VLOOKUP(E31,'Memória de Cálculo'!$B$206:$H$241,7,FALSE)))</f>
        <v>0</v>
      </c>
      <c r="F29" s="191">
        <f>IF(F30=0,0,IF(F31=0,VLOOKUP(F30,'Memória de Cálculo'!$B$206:$H$241,7,FALSE),VLOOKUP(F30,'Memória de Cálculo'!$B$206:$H$241,7,FALSE)+VLOOKUP(F31,'Memória de Cálculo'!$B$206:$H$241,7,FALSE)))</f>
        <v>0</v>
      </c>
      <c r="G29" s="191">
        <f>IF(G30=0,0,IF(G31=0,VLOOKUP(G30,'Memória de Cálculo'!$B$206:$H$241,7,FALSE),VLOOKUP(G30,'Memória de Cálculo'!$B$206:$H$241,7,FALSE)+VLOOKUP(G31,'Memória de Cálculo'!$B$206:$H$241,7,FALSE)))</f>
        <v>1.0543390105433903E-2</v>
      </c>
      <c r="H29" s="191">
        <f>IF(H30=0,0,IF(H31=0,VLOOKUP(H30,'Memória de Cálculo'!$B$206:$H$241,7,FALSE),VLOOKUP(H30,'Memória de Cálculo'!$B$206:$H$241,7,FALSE)+VLOOKUP(H31,'Memória de Cálculo'!$B$206:$H$241,7,FALSE)))</f>
        <v>2.3888520238885203E-2</v>
      </c>
      <c r="I29" s="191">
        <f>IF(I30=0,0,IF(I31=0,VLOOKUP(I30,'Memória de Cálculo'!$B$206:$H$241,7,FALSE),VLOOKUP(I30,'Memória de Cálculo'!$B$206:$H$241,7,FALSE)+VLOOKUP(I31,'Memória de Cálculo'!$B$206:$H$241,7,FALSE)))</f>
        <v>2.3888520238885203E-2</v>
      </c>
      <c r="J29" s="191">
        <f>IF(J30=0,0,IF(J31=0,VLOOKUP(J30,'Memória de Cálculo'!$B$206:$H$241,7,FALSE),VLOOKUP(J30,'Memória de Cálculo'!$B$206:$H$241,7,FALSE)+VLOOKUP(J31,'Memória de Cálculo'!$B$206:$H$241,7,FALSE)))</f>
        <v>2.1307970213079702E-2</v>
      </c>
      <c r="K29" s="191">
        <f>IF(K30=0,0,IF(K31=0,VLOOKUP(K30,'Memória de Cálculo'!$B$206:$H$241,7,FALSE),VLOOKUP(K30,'Memória de Cálculo'!$B$206:$H$241,7,FALSE)+VLOOKUP(K31,'Memória de Cálculo'!$B$206:$H$241,7,FALSE)))</f>
        <v>2.5746516257465161E-2</v>
      </c>
      <c r="L29" s="191">
        <f>IF(L30=0,0,IF(L31=0,VLOOKUP(L30,'Memória de Cálculo'!$B$206:$H$241,7,FALSE),VLOOKUP(L30,'Memória de Cálculo'!$B$206:$H$241,7,FALSE)+VLOOKUP(L31,'Memória de Cálculo'!$B$206:$H$241,7,FALSE)))</f>
        <v>2.0364226203642262E-2</v>
      </c>
      <c r="M29" s="191">
        <f>IF(M30=0,0,IF(M31=0,VLOOKUP(M30,'Memória de Cálculo'!$B$206:$H$241,7,FALSE),VLOOKUP(M30,'Memória de Cálculo'!$B$206:$H$241,7,FALSE)+VLOOKUP(M31,'Memória de Cálculo'!$B$206:$H$241,7,FALSE)))</f>
        <v>2.4714296247142963E-2</v>
      </c>
      <c r="N29" s="191">
        <f>IF(N30=0,0,IF(N31=0,VLOOKUP(N30,'Memória de Cálculo'!$B$206:$H$241,7,FALSE),VLOOKUP(N30,'Memória de Cálculo'!$B$206:$H$241,7,FALSE)+VLOOKUP(N31,'Memória de Cálculo'!$B$206:$H$241,7,FALSE)))</f>
        <v>2.4714296247142963E-2</v>
      </c>
      <c r="O29" s="191">
        <f>IF(O30=0,0,IF(O31=0,VLOOKUP(O30,'Memória de Cálculo'!$B$206:$H$241,7,FALSE),VLOOKUP(O30,'Memória de Cálculo'!$B$206:$H$241,7,FALSE)+VLOOKUP(O31,'Memória de Cálculo'!$B$206:$H$241,7,FALSE)))</f>
        <v>2.4714296247142963E-2</v>
      </c>
      <c r="P29" s="191">
        <f>IF(P30=0,0,IF(P31=0,VLOOKUP(P30,'Memória de Cálculo'!$B$206:$H$241,7,FALSE),VLOOKUP(P30,'Memória de Cálculo'!$B$206:$H$241,7,FALSE)+VLOOKUP(P31,'Memória de Cálculo'!$B$206:$H$241,7,FALSE)))</f>
        <v>3.0037602300376023E-2</v>
      </c>
      <c r="Q29" s="191">
        <f>IF(Q30=0,0,IF(Q31=0,VLOOKUP(Q30,'Memória de Cálculo'!$B$206:$H$241,7,FALSE),VLOOKUP(Q30,'Memória de Cálculo'!$B$206:$H$241,7,FALSE)+VLOOKUP(Q31,'Memória de Cálculo'!$B$206:$H$241,7,FALSE)))</f>
        <v>3.1305758313057583E-2</v>
      </c>
      <c r="R29" s="191">
        <f>IF(R30=0,0,IF(R31=0,VLOOKUP(R30,'Memória de Cálculo'!$B$206:$H$241,7,FALSE),VLOOKUP(R30,'Memória de Cálculo'!$B$206:$H$241,7,FALSE)+VLOOKUP(R31,'Memória de Cálculo'!$B$206:$H$241,7,FALSE)))</f>
        <v>3.1305758313057583E-2</v>
      </c>
      <c r="S29" s="191">
        <f>IF(S30=0,0,IF(S31=0,VLOOKUP(S30,'Memória de Cálculo'!$B$206:$H$241,7,FALSE),VLOOKUP(S30,'Memória de Cálculo'!$B$206:$H$241,7,FALSE)+VLOOKUP(S31,'Memória de Cálculo'!$B$206:$H$241,7,FALSE)))</f>
        <v>3.1305758313057583E-2</v>
      </c>
      <c r="T29" s="191">
        <f>IF(T30=0,0,IF(T31=0,VLOOKUP(T30,'Memória de Cálculo'!$B$206:$H$241,7,FALSE),VLOOKUP(T30,'Memória de Cálculo'!$B$206:$H$241,7,FALSE)+VLOOKUP(T31,'Memória de Cálculo'!$B$206:$H$241,7,FALSE)))</f>
        <v>3.1305758313057583E-2</v>
      </c>
      <c r="U29" s="191">
        <f>IF(U30=0,0,IF(U31=0,VLOOKUP(U30,'Memória de Cálculo'!$B$206:$H$241,7,FALSE),VLOOKUP(U30,'Memória de Cálculo'!$B$206:$H$241,7,FALSE)+VLOOKUP(U31,'Memória de Cálculo'!$B$206:$H$241,7,FALSE)))</f>
        <v>2.0364226203642262E-2</v>
      </c>
      <c r="V29" s="191">
        <f>IF(V30=0,0,IF(V31=0,VLOOKUP(V30,'Memória de Cálculo'!$B$206:$H$241,7,FALSE),VLOOKUP(V30,'Memória de Cálculo'!$B$206:$H$241,7,FALSE)+VLOOKUP(V31,'Memória de Cálculo'!$B$206:$H$241,7,FALSE)))</f>
        <v>7.1518100715181002E-3</v>
      </c>
      <c r="W29" s="191">
        <f>IF(W30=0,0,IF(W31=0,VLOOKUP(W30,'Memória de Cálculo'!$B$206:$H$241,7,FALSE),VLOOKUP(W30,'Memória de Cálculo'!$B$206:$H$241,7,FALSE)+VLOOKUP(W31,'Memória de Cálculo'!$B$206:$H$241,7,FALSE)))</f>
        <v>2.0773427707734278E-2</v>
      </c>
      <c r="X29" s="191">
        <f>IF(X30=0,0,IF(X31=0,VLOOKUP(X30,'Memória de Cálculo'!$B$206:$H$241,7,FALSE),VLOOKUP(X30,'Memória de Cálculo'!$B$206:$H$241,7,FALSE)+VLOOKUP(X31,'Memória de Cálculo'!$B$206:$H$241,7,FALSE)))</f>
        <v>2.8293887782938877E-2</v>
      </c>
      <c r="Y29" s="191">
        <f>IF(Y30=0,0,IF(Y31=0,VLOOKUP(Y30,'Memória de Cálculo'!$B$206:$H$241,7,FALSE),VLOOKUP(Y30,'Memória de Cálculo'!$B$206:$H$241,7,FALSE)+VLOOKUP(Y31,'Memória de Cálculo'!$B$206:$H$241,7,FALSE)))</f>
        <v>2.8293887782938877E-2</v>
      </c>
      <c r="Z29" s="191">
        <f>IF(Z30=0,0,IF(Z31=0,VLOOKUP(Z30,'Memória de Cálculo'!$B$206:$H$241,7,FALSE),VLOOKUP(Z30,'Memória de Cálculo'!$B$206:$H$241,7,FALSE)+VLOOKUP(Z31,'Memória de Cálculo'!$B$206:$H$241,7,FALSE)))</f>
        <v>2.8293887782938877E-2</v>
      </c>
      <c r="AA29" s="191">
        <f>IF(AA30=0,0,IF(AA31=0,VLOOKUP(AA30,'Memória de Cálculo'!$B$206:$H$241,7,FALSE),VLOOKUP(AA30,'Memória de Cálculo'!$B$206:$H$241,7,FALSE)+VLOOKUP(AA31,'Memória de Cálculo'!$B$206:$H$241,7,FALSE)))</f>
        <v>2.224188355575217E-2</v>
      </c>
      <c r="AB29" s="191">
        <f>IF(AB30=0,0,IF(AB31=0,VLOOKUP(AB30,'Memória de Cálculo'!$B$206:$H$241,7,FALSE),VLOOKUP(AB30,'Memória de Cálculo'!$B$206:$H$241,7,FALSE)+VLOOKUP(AB31,'Memória de Cálculo'!$B$206:$H$241,7,FALSE)))</f>
        <v>2.1430853547641869E-2</v>
      </c>
      <c r="AC29" s="191">
        <f>IF(AC30=0,0,IF(AC31=0,VLOOKUP(AC30,'Memória de Cálculo'!$B$206:$H$241,7,FALSE),VLOOKUP(AC30,'Memória de Cálculo'!$B$206:$H$241,7,FALSE)+VLOOKUP(AC31,'Memória de Cálculo'!$B$206:$H$241,7,FALSE)))</f>
        <v>2.1430853547641869E-2</v>
      </c>
      <c r="AD29" s="191">
        <f>IF(AD30=0,0,IF(AD31=0,VLOOKUP(AD30,'Memória de Cálculo'!$B$206:$H$241,7,FALSE),VLOOKUP(AD30,'Memória de Cálculo'!$B$206:$H$241,7,FALSE)+VLOOKUP(AD31,'Memória de Cálculo'!$B$206:$H$241,7,FALSE)))</f>
        <v>2.0460075204600751E-2</v>
      </c>
      <c r="AE29" s="191">
        <f>IF(AE30=0,0,IF(AE31=0,VLOOKUP(AE30,'Memória de Cálculo'!$B$206:$H$241,7,FALSE),VLOOKUP(AE30,'Memória de Cálculo'!$B$206:$H$241,7,FALSE)+VLOOKUP(AE31,'Memória de Cálculo'!$B$206:$H$241,7,FALSE)))</f>
        <v>2.0460075204600751E-2</v>
      </c>
      <c r="AF29" s="191">
        <f>IF(AF30=0,0,IF(AF31=0,VLOOKUP(AF30,'Memória de Cálculo'!$B$206:$H$241,7,FALSE),VLOOKUP(AF30,'Memória de Cálculo'!$B$206:$H$241,7,FALSE)+VLOOKUP(AF31,'Memória de Cálculo'!$B$206:$H$241,7,FALSE)))</f>
        <v>8.5526800855268009E-3</v>
      </c>
      <c r="AG29" s="191">
        <f>IF(AG30=0,0,IF(AG31=0,VLOOKUP(AG30,'Memória de Cálculo'!$B$206:$H$241,7,FALSE),VLOOKUP(AG30,'Memória de Cálculo'!$B$206:$H$241,7,FALSE)+VLOOKUP(AG31,'Memória de Cálculo'!$B$206:$H$241,7,FALSE)))</f>
        <v>8.1103000811030002E-3</v>
      </c>
      <c r="AH29" s="191">
        <f>IF(AH30=0,0,IF(AH31=0,VLOOKUP(AH30,'Memória de Cálculo'!$B$206:$H$241,7,FALSE),VLOOKUP(AH30,'Memória de Cálculo'!$B$206:$H$241,7,FALSE)+VLOOKUP(AH31,'Memória de Cálculo'!$B$206:$H$241,7,FALSE)))</f>
        <v>7.7416500774165004E-3</v>
      </c>
      <c r="AI29" s="191">
        <f>IF(AI30=0,0,IF(AI31=0,VLOOKUP(AI30,'Memória de Cálculo'!$B$206:$H$241,7,FALSE),VLOOKUP(AI30,'Memória de Cálculo'!$B$206:$H$241,7,FALSE)+VLOOKUP(AI31,'Memória de Cálculo'!$B$206:$H$241,7,FALSE)))</f>
        <v>6.8568900685689006E-3</v>
      </c>
      <c r="AJ29" s="191">
        <f>IF(AJ30=0,0,IF(AJ31=0,VLOOKUP(AJ30,'Memória de Cálculo'!$B$206:$H$241,7,FALSE),VLOOKUP(AJ30,'Memória de Cálculo'!$B$206:$H$241,7,FALSE)+VLOOKUP(AJ31,'Memória de Cálculo'!$B$206:$H$241,7,FALSE)))</f>
        <v>6.8568900685689006E-3</v>
      </c>
      <c r="AK29" s="191">
        <f>IF(AK30=0,0,IF(AK31=0,VLOOKUP(AK30,'Memória de Cálculo'!$B$206:$H$241,7,FALSE),VLOOKUP(AK30,'Memória de Cálculo'!$B$206:$H$241,7,FALSE)+VLOOKUP(AK31,'Memória de Cálculo'!$B$206:$H$241,7,FALSE)))</f>
        <v>1.2398928457322619E-2</v>
      </c>
      <c r="AL29" s="191">
        <f>IF(AL30=0,0,IF(AL31=0,VLOOKUP(AL30,'Memória de Cálculo'!$B$206:$H$241,7,FALSE),VLOOKUP(AL30,'Memória de Cálculo'!$B$206:$H$241,7,FALSE)+VLOOKUP(AL31,'Memória de Cálculo'!$B$206:$H$241,7,FALSE)))</f>
        <v>1.2398928457322619E-2</v>
      </c>
      <c r="AM29" s="191">
        <f>IF(AM30=0,0,IF(AM31=0,VLOOKUP(AM30,'Memória de Cálculo'!$B$206:$H$241,7,FALSE),VLOOKUP(AM30,'Memória de Cálculo'!$B$206:$H$241,7,FALSE)+VLOOKUP(AM31,'Memória de Cálculo'!$B$206:$H$241,7,FALSE)))</f>
        <v>1.3664626803312936E-2</v>
      </c>
      <c r="AN29" s="191">
        <f>IF(AN30=0,0,IF(AN31=0,VLOOKUP(AN30,'Memória de Cálculo'!$B$206:$H$241,7,FALSE),VLOOKUP(AN30,'Memória de Cálculo'!$B$206:$H$241,7,FALSE)+VLOOKUP(AN31,'Memória de Cálculo'!$B$206:$H$241,7,FALSE)))</f>
        <v>1.5016343483496768E-2</v>
      </c>
      <c r="AO29" s="191">
        <f>IF(AO30=0,0,IF(AO31=0,VLOOKUP(AO30,'Memória de Cálculo'!$B$206:$H$241,7,FALSE),VLOOKUP(AO30,'Memória de Cálculo'!$B$206:$H$241,7,FALSE)+VLOOKUP(AO31,'Memória de Cálculo'!$B$206:$H$241,7,FALSE)))</f>
        <v>1.5016343483496768E-2</v>
      </c>
      <c r="AP29" s="191">
        <f>IF(AP30=0,0,IF(AP31=0,VLOOKUP(AP30,'Memória de Cálculo'!$B$206:$H$241,7,FALSE),VLOOKUP(AP30,'Memória de Cálculo'!$B$206:$H$241,7,FALSE)+VLOOKUP(AP31,'Memória de Cálculo'!$B$206:$H$241,7,FALSE)))</f>
        <v>9.1179434245127686E-3</v>
      </c>
      <c r="AQ29" s="191">
        <f>IF(AQ30=0,0,IF(AQ31=0,VLOOKUP(AQ30,'Memória de Cálculo'!$B$206:$H$241,7,FALSE),VLOOKUP(AQ30,'Memória de Cálculo'!$B$206:$H$241,7,FALSE)+VLOOKUP(AQ31,'Memória de Cálculo'!$B$206:$H$241,7,FALSE)))</f>
        <v>1.770748851040822E-2</v>
      </c>
      <c r="AR29" s="191">
        <f>IF(AR30=0,0,IF(AR31=0,VLOOKUP(AR30,'Memória de Cálculo'!$B$206:$H$241,7,FALSE),VLOOKUP(AR30,'Memória de Cálculo'!$B$206:$H$241,7,FALSE)+VLOOKUP(AR31,'Memória de Cálculo'!$B$206:$H$241,7,FALSE)))</f>
        <v>1.770748851040822E-2</v>
      </c>
      <c r="AS29" s="191">
        <f>IF(AS30=0,0,IF(AS31=0,VLOOKUP(AS30,'Memória de Cálculo'!$B$206:$H$241,7,FALSE),VLOOKUP(AS30,'Memória de Cálculo'!$B$206:$H$241,7,FALSE)+VLOOKUP(AS31,'Memória de Cálculo'!$B$206:$H$241,7,FALSE)))</f>
        <v>1.5974833493081667E-2</v>
      </c>
      <c r="AT29" s="191">
        <f>IF(AT30=0,0,IF(AT31=0,VLOOKUP(AT30,'Memória de Cálculo'!$B$206:$H$241,7,FALSE),VLOOKUP(AT30,'Memória de Cálculo'!$B$206:$H$241,7,FALSE)+VLOOKUP(AT31,'Memória de Cálculo'!$B$206:$H$241,7,FALSE)))</f>
        <v>1.5974833493081667E-2</v>
      </c>
      <c r="AU29" s="191">
        <f>IF(AU30=0,0,IF(AU31=0,VLOOKUP(AU30,'Memória de Cálculo'!$B$206:$H$241,7,FALSE),VLOOKUP(AU30,'Memória de Cálculo'!$B$206:$H$241,7,FALSE)+VLOOKUP(AU31,'Memória de Cálculo'!$B$206:$H$241,7,FALSE)))</f>
        <v>1.1108653444419867E-2</v>
      </c>
      <c r="AV29" s="191">
        <f>IF(AV30=0,0,IF(AV31=0,VLOOKUP(AV30,'Memória de Cálculo'!$B$206:$H$241,7,FALSE),VLOOKUP(AV30,'Memória de Cálculo'!$B$206:$H$241,7,FALSE)+VLOOKUP(AV31,'Memória de Cálculo'!$B$206:$H$241,7,FALSE)))</f>
        <v>0</v>
      </c>
      <c r="AW29" s="191">
        <f>IF(AW30=0,0,IF(AW31=0,VLOOKUP(AW30,'Memória de Cálculo'!$B$206:$H$241,7,FALSE),VLOOKUP(AW30,'Memória de Cálculo'!$B$206:$H$241,7,FALSE)+VLOOKUP(AW31,'Memória de Cálculo'!$B$206:$H$241,7,FALSE)))</f>
        <v>0</v>
      </c>
      <c r="AX29" s="191">
        <f>IF(AX30=0,0,IF(AX31=0,VLOOKUP(AX30,'Memória de Cálculo'!$B$206:$H$241,7,FALSE),VLOOKUP(AX30,'Memória de Cálculo'!$B$206:$H$241,7,FALSE)+VLOOKUP(AX31,'Memória de Cálculo'!$B$206:$H$241,7,FALSE)))</f>
        <v>1.2239180122391802E-2</v>
      </c>
      <c r="AY29" s="191">
        <f>IF(AY30=0,0,IF(AY31=0,VLOOKUP(AY30,'Memória de Cálculo'!$B$206:$H$241,7,FALSE),VLOOKUP(AY30,'Memória de Cálculo'!$B$206:$H$241,7,FALSE)+VLOOKUP(AY31,'Memória de Cálculo'!$B$206:$H$241,7,FALSE)))</f>
        <v>1.2239180122391802E-2</v>
      </c>
      <c r="AZ29" s="191">
        <f>IF(AZ30=0,0,IF(AZ31=0,VLOOKUP(AZ30,'Memória de Cálculo'!$B$206:$H$241,7,FALSE),VLOOKUP(AZ30,'Memória de Cálculo'!$B$206:$H$241,7,FALSE)+VLOOKUP(AZ31,'Memória de Cálculo'!$B$206:$H$241,7,FALSE)))</f>
        <v>1.2239180122391802E-2</v>
      </c>
      <c r="BA29" s="191">
        <f>IF(BA30=0,0,IF(BA31=0,VLOOKUP(BA30,'Memória de Cálculo'!$B$206:$H$241,7,FALSE),VLOOKUP(BA30,'Memória de Cálculo'!$B$206:$H$241,7,FALSE)+VLOOKUP(BA31,'Memória de Cálculo'!$B$206:$H$241,7,FALSE)))</f>
        <v>2.5529012755290129E-2</v>
      </c>
      <c r="BB29" s="191">
        <f>IF(BB30=0,0,IF(BB31=0,VLOOKUP(BB30,'Memória de Cálculo'!$B$206:$H$241,7,FALSE),VLOOKUP(BB30,'Memória de Cálculo'!$B$206:$H$241,7,FALSE)+VLOOKUP(BB31,'Memória de Cálculo'!$B$206:$H$241,7,FALSE)))</f>
        <v>2.5529012755290129E-2</v>
      </c>
      <c r="BC29" s="191">
        <f>IF(BC30=0,0,IF(BC31=0,VLOOKUP(BC30,'Memória de Cálculo'!$B$206:$H$241,7,FALSE),VLOOKUP(BC30,'Memória de Cálculo'!$B$206:$H$241,7,FALSE)+VLOOKUP(BC31,'Memória de Cálculo'!$B$206:$H$241,7,FALSE)))</f>
        <v>2.7316965273169652E-2</v>
      </c>
      <c r="BD29" s="191">
        <f>IF(BD30=0,0,IF(BD31=0,VLOOKUP(BD30,'Memória de Cálculo'!$B$206:$H$241,7,FALSE),VLOOKUP(BD30,'Memória de Cálculo'!$B$206:$H$241,7,FALSE)+VLOOKUP(BD31,'Memória de Cálculo'!$B$206:$H$241,7,FALSE)))</f>
        <v>2.7316965273169652E-2</v>
      </c>
      <c r="BE29" s="191">
        <f>IF(BE30=0,0,IF(BE31=0,VLOOKUP(BE30,'Memória de Cálculo'!$B$206:$H$241,7,FALSE),VLOOKUP(BE30,'Memória de Cálculo'!$B$206:$H$241,7,FALSE)+VLOOKUP(BE31,'Memória de Cálculo'!$B$206:$H$241,7,FALSE)))</f>
        <v>2.0220452702204527E-2</v>
      </c>
      <c r="BF29" s="191">
        <f>IF(BF30=0,0,IF(BF31=0,VLOOKUP(BF30,'Memória de Cálculo'!$B$206:$H$241,7,FALSE),VLOOKUP(BF30,'Memória de Cálculo'!$B$206:$H$241,7,FALSE)+VLOOKUP(BF31,'Memória de Cálculo'!$B$206:$H$241,7,FALSE)))</f>
        <v>2.0220452702204527E-2</v>
      </c>
      <c r="BG29" s="191">
        <f>IF(BG30=0,0,IF(BG31=0,VLOOKUP(BG30,'Memória de Cálculo'!$B$206:$H$241,7,FALSE),VLOOKUP(BG30,'Memória de Cálculo'!$B$206:$H$241,7,FALSE)+VLOOKUP(BG31,'Memória de Cálculo'!$B$206:$H$241,7,FALSE)))</f>
        <v>1.1575610115756101E-2</v>
      </c>
      <c r="BH29" s="191">
        <f>IF(BH30=0,0,IF(BH31=0,VLOOKUP(BH30,'Memória de Cálculo'!$B$206:$H$241,7,FALSE),VLOOKUP(BH30,'Memória de Cálculo'!$B$206:$H$241,7,FALSE)+VLOOKUP(BH31,'Memória de Cálculo'!$B$206:$H$241,7,FALSE)))</f>
        <v>1.1206960112069602E-2</v>
      </c>
      <c r="BI29" s="191">
        <f>IF(BI30=0,0,IF(BI31=0,VLOOKUP(BI30,'Memória de Cálculo'!$B$206:$H$241,7,FALSE),VLOOKUP(BI30,'Memória de Cálculo'!$B$206:$H$241,7,FALSE)+VLOOKUP(BI31,'Memória de Cálculo'!$B$206:$H$241,7,FALSE)))</f>
        <v>5.8246700582467005E-3</v>
      </c>
      <c r="BJ29" s="191">
        <f>IF(BJ30=0,0,IF(BJ31=0,VLOOKUP(BJ30,'Memória de Cálculo'!$B$206:$H$241,7,FALSE),VLOOKUP(BJ30,'Memória de Cálculo'!$B$206:$H$241,7,FALSE)+VLOOKUP(BJ31,'Memória de Cálculo'!$B$206:$H$241,7,FALSE)))</f>
        <v>0</v>
      </c>
      <c r="BK29" s="191">
        <f>IF(BK30=0,0,IF(BK31=0,VLOOKUP(BK30,'Memória de Cálculo'!$B$206:$H$241,7,FALSE),VLOOKUP(BK30,'Memória de Cálculo'!$B$206:$H$241,7,FALSE)+VLOOKUP(BK31,'Memória de Cálculo'!$B$206:$H$241,7,FALSE)))</f>
        <v>0</v>
      </c>
      <c r="BL29" s="191">
        <f>IF(BL30=0,0,IF(BL31=0,VLOOKUP(BL30,'Memória de Cálculo'!$B$206:$H$241,7,FALSE),VLOOKUP(BL30,'Memória de Cálculo'!$B$206:$H$241,7,FALSE)+VLOOKUP(BL31,'Memória de Cálculo'!$B$206:$H$241,7,FALSE)))</f>
        <v>0</v>
      </c>
      <c r="BM29" s="189"/>
    </row>
    <row r="30" spans="1:67" s="190" customFormat="1" ht="24.9" hidden="1" customHeight="1" x14ac:dyDescent="0.25">
      <c r="A30" s="381"/>
      <c r="B30" s="384"/>
      <c r="C30" s="378" t="s">
        <v>861</v>
      </c>
      <c r="D30" s="387"/>
      <c r="E30" s="348">
        <f t="shared" ref="E30:AJ30" si="38">E26</f>
        <v>0</v>
      </c>
      <c r="F30" s="348">
        <f t="shared" si="38"/>
        <v>0</v>
      </c>
      <c r="G30" s="348" t="str">
        <f t="shared" si="38"/>
        <v>Nossa Senhora Aparecida - R02</v>
      </c>
      <c r="H30" s="348" t="str">
        <f t="shared" si="38"/>
        <v>Nossa Senhora Aparecida - R01</v>
      </c>
      <c r="I30" s="348" t="str">
        <f t="shared" si="38"/>
        <v>Nossa Senhora Aparecida - R01</v>
      </c>
      <c r="J30" s="348" t="str">
        <f t="shared" si="38"/>
        <v>Nossa Senhora Aparecida - R01</v>
      </c>
      <c r="K30" s="348" t="str">
        <f t="shared" si="38"/>
        <v>Nossa Senhora Aparecida - R01</v>
      </c>
      <c r="L30" s="348" t="str">
        <f t="shared" si="38"/>
        <v>São Pedro</v>
      </c>
      <c r="M30" s="348" t="str">
        <f t="shared" si="38"/>
        <v>São Marcos</v>
      </c>
      <c r="N30" s="348" t="str">
        <f t="shared" si="38"/>
        <v>São Marcos</v>
      </c>
      <c r="O30" s="348" t="str">
        <f t="shared" si="38"/>
        <v>São Marcos</v>
      </c>
      <c r="P30" s="348" t="str">
        <f t="shared" si="38"/>
        <v>São Marcos</v>
      </c>
      <c r="Q30" s="348" t="str">
        <f t="shared" si="38"/>
        <v>Maria das Graças</v>
      </c>
      <c r="R30" s="348" t="str">
        <f t="shared" si="38"/>
        <v>Maria das Graças</v>
      </c>
      <c r="S30" s="348" t="str">
        <f t="shared" si="38"/>
        <v>Maria das Graças</v>
      </c>
      <c r="T30" s="348" t="str">
        <f t="shared" si="38"/>
        <v>Maria das Graças</v>
      </c>
      <c r="U30" s="348" t="str">
        <f t="shared" si="38"/>
        <v>Santos Dumont / Aeroporto</v>
      </c>
      <c r="V30" s="348" t="str">
        <f t="shared" si="38"/>
        <v>Novo Horizonte</v>
      </c>
      <c r="W30" s="348" t="str">
        <f t="shared" si="38"/>
        <v>Novo Horizonte</v>
      </c>
      <c r="X30" s="348" t="str">
        <f t="shared" si="38"/>
        <v>Honório Fraga</v>
      </c>
      <c r="Y30" s="348" t="str">
        <f t="shared" si="38"/>
        <v>Honório Fraga</v>
      </c>
      <c r="Z30" s="348" t="str">
        <f t="shared" si="38"/>
        <v>Honório Fraga</v>
      </c>
      <c r="AA30" s="348" t="str">
        <f t="shared" si="38"/>
        <v>Santo Antônio</v>
      </c>
      <c r="AB30" s="348" t="str">
        <f t="shared" si="38"/>
        <v>Vila Amélia</v>
      </c>
      <c r="AC30" s="348" t="str">
        <f t="shared" si="38"/>
        <v>Vila Amélia</v>
      </c>
      <c r="AD30" s="348" t="str">
        <f t="shared" si="38"/>
        <v>Vila Real</v>
      </c>
      <c r="AE30" s="348" t="str">
        <f t="shared" si="38"/>
        <v>Vila Real</v>
      </c>
      <c r="AF30" s="348" t="str">
        <f t="shared" si="38"/>
        <v>Vista Linda I</v>
      </c>
      <c r="AG30" s="348" t="str">
        <f t="shared" si="38"/>
        <v>Vista Linda I</v>
      </c>
      <c r="AH30" s="348" t="str">
        <f t="shared" si="38"/>
        <v>Industrial Alves Marques</v>
      </c>
      <c r="AI30" s="348" t="str">
        <f t="shared" si="38"/>
        <v>Quinze de Outubro - Gleba 01</v>
      </c>
      <c r="AJ30" s="348" t="str">
        <f t="shared" si="38"/>
        <v>Quinze de Outubro - Gleba 01</v>
      </c>
      <c r="AK30" s="348" t="str">
        <f t="shared" ref="AK30:BL30" si="39">AK26</f>
        <v>Gordiano Guimarães</v>
      </c>
      <c r="AL30" s="348" t="str">
        <f t="shared" si="39"/>
        <v>Gordiano Guimarães</v>
      </c>
      <c r="AM30" s="348" t="str">
        <f t="shared" si="39"/>
        <v>Gordiano Guimarães</v>
      </c>
      <c r="AN30" s="348" t="str">
        <f t="shared" si="39"/>
        <v>Paul da Graça Aranha</v>
      </c>
      <c r="AO30" s="348" t="str">
        <f t="shared" si="39"/>
        <v>Paul da Graça Aranha</v>
      </c>
      <c r="AP30" s="348" t="str">
        <f t="shared" si="39"/>
        <v>Av. Costa Rica x Rio de Janeiro</v>
      </c>
      <c r="AQ30" s="348" t="str">
        <f t="shared" si="39"/>
        <v>Itapina</v>
      </c>
      <c r="AR30" s="348" t="str">
        <f t="shared" si="39"/>
        <v>Itapina</v>
      </c>
      <c r="AS30" s="348" t="str">
        <f t="shared" si="39"/>
        <v>São Vicente</v>
      </c>
      <c r="AT30" s="348" t="str">
        <f t="shared" si="39"/>
        <v>São Vicente</v>
      </c>
      <c r="AU30" s="348" t="str">
        <f t="shared" si="39"/>
        <v>São Vicente</v>
      </c>
      <c r="AV30" s="348">
        <f t="shared" si="39"/>
        <v>0</v>
      </c>
      <c r="AW30" s="348">
        <f t="shared" si="39"/>
        <v>0</v>
      </c>
      <c r="AX30" s="348" t="str">
        <f t="shared" si="39"/>
        <v>Bela Vista</v>
      </c>
      <c r="AY30" s="348" t="str">
        <f t="shared" si="39"/>
        <v>Bela Vista</v>
      </c>
      <c r="AZ30" s="348" t="str">
        <f t="shared" si="39"/>
        <v>Bela Vista</v>
      </c>
      <c r="BA30" s="348" t="str">
        <f t="shared" si="39"/>
        <v>Colatina Velha</v>
      </c>
      <c r="BB30" s="348" t="str">
        <f t="shared" si="39"/>
        <v>Colatina Velha</v>
      </c>
      <c r="BC30" s="348" t="str">
        <f t="shared" si="39"/>
        <v>Vila Lenira</v>
      </c>
      <c r="BD30" s="348" t="str">
        <f t="shared" si="39"/>
        <v>Vila Lenira</v>
      </c>
      <c r="BE30" s="348" t="str">
        <f t="shared" si="39"/>
        <v>Vila Lenira</v>
      </c>
      <c r="BF30" s="348" t="str">
        <f t="shared" si="39"/>
        <v>Vila Lenira</v>
      </c>
      <c r="BG30" s="348" t="str">
        <f t="shared" si="39"/>
        <v>Olívio Zanotelli</v>
      </c>
      <c r="BH30" s="348" t="str">
        <f t="shared" si="39"/>
        <v>Boapaba</v>
      </c>
      <c r="BI30" s="348" t="str">
        <f t="shared" si="39"/>
        <v>Boapaba</v>
      </c>
      <c r="BJ30" s="348">
        <f t="shared" si="39"/>
        <v>0</v>
      </c>
      <c r="BK30" s="348">
        <f t="shared" si="39"/>
        <v>0</v>
      </c>
      <c r="BL30" s="348">
        <f t="shared" si="39"/>
        <v>0</v>
      </c>
      <c r="BM30" s="189"/>
    </row>
    <row r="31" spans="1:67" s="190" customFormat="1" ht="24.9" hidden="1" customHeight="1" x14ac:dyDescent="0.25">
      <c r="A31" s="381"/>
      <c r="B31" s="384"/>
      <c r="C31" s="379"/>
      <c r="D31" s="387"/>
      <c r="E31" s="337">
        <f t="shared" ref="E31:AJ31" si="40">E27</f>
        <v>0</v>
      </c>
      <c r="F31" s="337">
        <f t="shared" si="40"/>
        <v>0</v>
      </c>
      <c r="G31" s="337">
        <f t="shared" si="40"/>
        <v>0</v>
      </c>
      <c r="H31" s="337" t="str">
        <f t="shared" si="40"/>
        <v>Nossa Senhora Aparecida - R02</v>
      </c>
      <c r="I31" s="337" t="str">
        <f t="shared" si="40"/>
        <v>Nossa Senhora Aparecida - R02</v>
      </c>
      <c r="J31" s="337" t="str">
        <f t="shared" si="40"/>
        <v>São Pedro</v>
      </c>
      <c r="K31" s="337" t="str">
        <f t="shared" si="40"/>
        <v>São Braz</v>
      </c>
      <c r="L31" s="337" t="str">
        <f t="shared" si="40"/>
        <v>São Braz</v>
      </c>
      <c r="M31" s="337" t="str">
        <f t="shared" si="40"/>
        <v>São Braz</v>
      </c>
      <c r="N31" s="337" t="str">
        <f t="shared" si="40"/>
        <v>São Braz</v>
      </c>
      <c r="O31" s="337" t="str">
        <f t="shared" si="40"/>
        <v>São Braz</v>
      </c>
      <c r="P31" s="337" t="str">
        <f t="shared" si="40"/>
        <v>Maria das Graças</v>
      </c>
      <c r="Q31" s="337" t="str">
        <f t="shared" si="40"/>
        <v>Santos Dumont / Aeroporto</v>
      </c>
      <c r="R31" s="337" t="str">
        <f t="shared" si="40"/>
        <v>Santos Dumont / Aeroporto</v>
      </c>
      <c r="S31" s="337" t="str">
        <f t="shared" si="40"/>
        <v>Santos Dumont / Aeroporto</v>
      </c>
      <c r="T31" s="337" t="str">
        <f t="shared" si="40"/>
        <v>Santos Dumont / Aeroporto</v>
      </c>
      <c r="U31" s="337" t="str">
        <f t="shared" si="40"/>
        <v>Novo Horizonte</v>
      </c>
      <c r="V31" s="337" t="str">
        <f t="shared" si="40"/>
        <v>R. Frederico Botan x João Tinelli (Honório Fraga)</v>
      </c>
      <c r="W31" s="337" t="str">
        <f t="shared" si="40"/>
        <v>Honório Fraga</v>
      </c>
      <c r="X31" s="337" t="str">
        <f t="shared" si="40"/>
        <v>Santo Antônio</v>
      </c>
      <c r="Y31" s="337" t="str">
        <f t="shared" si="40"/>
        <v>Santo Antônio</v>
      </c>
      <c r="Z31" s="337" t="str">
        <f t="shared" si="40"/>
        <v>Santo Antônio</v>
      </c>
      <c r="AA31" s="337" t="str">
        <f t="shared" si="40"/>
        <v>Vila Amélia</v>
      </c>
      <c r="AB31" s="337" t="str">
        <f t="shared" si="40"/>
        <v>Vila Real</v>
      </c>
      <c r="AC31" s="337" t="str">
        <f t="shared" si="40"/>
        <v>Vila Real</v>
      </c>
      <c r="AD31" s="337" t="str">
        <f t="shared" si="40"/>
        <v>Fioravante Marino</v>
      </c>
      <c r="AE31" s="337" t="str">
        <f t="shared" si="40"/>
        <v>Fioravante Marino</v>
      </c>
      <c r="AF31" s="337" t="str">
        <f t="shared" si="40"/>
        <v>Vista Linda II</v>
      </c>
      <c r="AG31" s="337" t="str">
        <f t="shared" si="40"/>
        <v>Morro Azul</v>
      </c>
      <c r="AH31" s="337" t="str">
        <f t="shared" si="40"/>
        <v>Quinze de Outubro - Gleba 01</v>
      </c>
      <c r="AI31" s="337" t="str">
        <f t="shared" si="40"/>
        <v>Quinze de Outubro - Gleba 02</v>
      </c>
      <c r="AJ31" s="337" t="str">
        <f t="shared" si="40"/>
        <v>Quinze de Outubro - Gleba 03</v>
      </c>
      <c r="AK31" s="337" t="str">
        <f t="shared" ref="AK31:BL31" si="41">AK27</f>
        <v>Reta Grande</v>
      </c>
      <c r="AL31" s="337" t="str">
        <f t="shared" si="41"/>
        <v>Reta Grande</v>
      </c>
      <c r="AM31" s="337" t="str">
        <f t="shared" si="41"/>
        <v>Paul da Graça Aranha</v>
      </c>
      <c r="AN31" s="337" t="str">
        <f t="shared" si="41"/>
        <v>Robson Eli Terezani</v>
      </c>
      <c r="AO31" s="337" t="str">
        <f t="shared" si="41"/>
        <v>Robson Eli Terezani</v>
      </c>
      <c r="AP31" s="337" t="str">
        <f t="shared" si="41"/>
        <v>Itapina</v>
      </c>
      <c r="AQ31" s="337" t="str">
        <f t="shared" si="41"/>
        <v>Lacê</v>
      </c>
      <c r="AR31" s="337" t="str">
        <f t="shared" si="41"/>
        <v>Lacê</v>
      </c>
      <c r="AS31" s="337" t="str">
        <f t="shared" si="41"/>
        <v>São Judas Tadeu</v>
      </c>
      <c r="AT31" s="337" t="str">
        <f t="shared" si="41"/>
        <v>São Judas Tadeu</v>
      </c>
      <c r="AU31" s="337">
        <f t="shared" si="41"/>
        <v>0</v>
      </c>
      <c r="AV31" s="337">
        <f t="shared" si="41"/>
        <v>0</v>
      </c>
      <c r="AW31" s="337">
        <f t="shared" si="41"/>
        <v>0</v>
      </c>
      <c r="AX31" s="337">
        <f t="shared" si="41"/>
        <v>0</v>
      </c>
      <c r="AY31" s="337">
        <f t="shared" si="41"/>
        <v>0</v>
      </c>
      <c r="AZ31" s="337">
        <f t="shared" si="41"/>
        <v>0</v>
      </c>
      <c r="BA31" s="337" t="str">
        <f t="shared" si="41"/>
        <v>Bela Vista</v>
      </c>
      <c r="BB31" s="337" t="str">
        <f t="shared" si="41"/>
        <v>Bela Vista</v>
      </c>
      <c r="BC31" s="337" t="str">
        <f t="shared" si="41"/>
        <v>Colatina Velha</v>
      </c>
      <c r="BD31" s="337" t="str">
        <f t="shared" si="41"/>
        <v>Colatina Velha</v>
      </c>
      <c r="BE31" s="337" t="str">
        <f t="shared" si="41"/>
        <v>Alto Vila Nova</v>
      </c>
      <c r="BF31" s="337" t="str">
        <f t="shared" si="41"/>
        <v>Alto Vila Nova</v>
      </c>
      <c r="BG31" s="337" t="str">
        <f t="shared" si="41"/>
        <v>Alto Vila Nova</v>
      </c>
      <c r="BH31" s="337" t="str">
        <f t="shared" si="41"/>
        <v>Olívio Zanotelli</v>
      </c>
      <c r="BI31" s="337">
        <f t="shared" si="41"/>
        <v>0</v>
      </c>
      <c r="BJ31" s="337">
        <f t="shared" si="41"/>
        <v>0</v>
      </c>
      <c r="BK31" s="337">
        <f t="shared" si="41"/>
        <v>0</v>
      </c>
      <c r="BL31" s="337">
        <f t="shared" si="41"/>
        <v>0</v>
      </c>
      <c r="BM31" s="189"/>
    </row>
    <row r="32" spans="1:67" s="100" customFormat="1" ht="24.9" customHeight="1" x14ac:dyDescent="0.25">
      <c r="A32" s="382"/>
      <c r="B32" s="385"/>
      <c r="C32" s="334" t="s">
        <v>14</v>
      </c>
      <c r="D32" s="388"/>
      <c r="E32" s="343">
        <f>E29*$D$29</f>
        <v>0</v>
      </c>
      <c r="F32" s="343">
        <f t="shared" ref="F32:BJ32" si="42">F29*$D$29</f>
        <v>0</v>
      </c>
      <c r="G32" s="343">
        <f t="shared" si="42"/>
        <v>0</v>
      </c>
      <c r="H32" s="343">
        <f t="shared" si="42"/>
        <v>0</v>
      </c>
      <c r="I32" s="343">
        <f t="shared" si="42"/>
        <v>0</v>
      </c>
      <c r="J32" s="343">
        <f t="shared" si="42"/>
        <v>0</v>
      </c>
      <c r="K32" s="343">
        <f t="shared" si="42"/>
        <v>0</v>
      </c>
      <c r="L32" s="343">
        <f t="shared" si="42"/>
        <v>0</v>
      </c>
      <c r="M32" s="343">
        <f t="shared" si="42"/>
        <v>0</v>
      </c>
      <c r="N32" s="343">
        <f t="shared" si="42"/>
        <v>0</v>
      </c>
      <c r="O32" s="343">
        <f t="shared" si="42"/>
        <v>0</v>
      </c>
      <c r="P32" s="343">
        <f>P29*$D$29</f>
        <v>0</v>
      </c>
      <c r="Q32" s="343">
        <f>Q29*$D$29</f>
        <v>0</v>
      </c>
      <c r="R32" s="343">
        <f t="shared" ref="R32:AA32" si="43">R29*$D$29</f>
        <v>0</v>
      </c>
      <c r="S32" s="343">
        <f t="shared" si="43"/>
        <v>0</v>
      </c>
      <c r="T32" s="343">
        <f t="shared" si="43"/>
        <v>0</v>
      </c>
      <c r="U32" s="343">
        <f t="shared" si="43"/>
        <v>0</v>
      </c>
      <c r="V32" s="343">
        <f t="shared" si="43"/>
        <v>0</v>
      </c>
      <c r="W32" s="343">
        <f t="shared" si="43"/>
        <v>0</v>
      </c>
      <c r="X32" s="343">
        <f t="shared" si="43"/>
        <v>0</v>
      </c>
      <c r="Y32" s="343">
        <f t="shared" si="43"/>
        <v>0</v>
      </c>
      <c r="Z32" s="343">
        <f t="shared" si="43"/>
        <v>0</v>
      </c>
      <c r="AA32" s="343">
        <f t="shared" si="43"/>
        <v>0</v>
      </c>
      <c r="AB32" s="343">
        <f>AB29*$D$29</f>
        <v>0</v>
      </c>
      <c r="AC32" s="343">
        <f>AC29*$D$29</f>
        <v>0</v>
      </c>
      <c r="AD32" s="343">
        <f t="shared" ref="AD32:AM32" si="44">AD29*$D$29</f>
        <v>0</v>
      </c>
      <c r="AE32" s="343">
        <f t="shared" si="44"/>
        <v>0</v>
      </c>
      <c r="AF32" s="343">
        <f t="shared" si="44"/>
        <v>0</v>
      </c>
      <c r="AG32" s="343">
        <f t="shared" si="44"/>
        <v>0</v>
      </c>
      <c r="AH32" s="343">
        <f t="shared" si="44"/>
        <v>0</v>
      </c>
      <c r="AI32" s="343">
        <f t="shared" si="44"/>
        <v>0</v>
      </c>
      <c r="AJ32" s="343">
        <f t="shared" si="44"/>
        <v>0</v>
      </c>
      <c r="AK32" s="343">
        <f t="shared" si="44"/>
        <v>0</v>
      </c>
      <c r="AL32" s="343">
        <f t="shared" si="44"/>
        <v>0</v>
      </c>
      <c r="AM32" s="343">
        <f t="shared" si="44"/>
        <v>0</v>
      </c>
      <c r="AN32" s="343">
        <f>AN29*$D$29</f>
        <v>0</v>
      </c>
      <c r="AO32" s="343">
        <f>AO29*$D$29</f>
        <v>0</v>
      </c>
      <c r="AP32" s="343">
        <f t="shared" ref="AP32:AY32" si="45">AP29*$D$29</f>
        <v>0</v>
      </c>
      <c r="AQ32" s="343">
        <f t="shared" si="45"/>
        <v>0</v>
      </c>
      <c r="AR32" s="343">
        <f t="shared" si="45"/>
        <v>0</v>
      </c>
      <c r="AS32" s="343">
        <f t="shared" si="45"/>
        <v>0</v>
      </c>
      <c r="AT32" s="343">
        <f t="shared" si="45"/>
        <v>0</v>
      </c>
      <c r="AU32" s="343">
        <f t="shared" si="45"/>
        <v>0</v>
      </c>
      <c r="AV32" s="343">
        <f t="shared" si="45"/>
        <v>0</v>
      </c>
      <c r="AW32" s="343">
        <f t="shared" si="45"/>
        <v>0</v>
      </c>
      <c r="AX32" s="343">
        <f t="shared" si="45"/>
        <v>0</v>
      </c>
      <c r="AY32" s="343">
        <f t="shared" si="45"/>
        <v>0</v>
      </c>
      <c r="AZ32" s="343">
        <f t="shared" si="42"/>
        <v>0</v>
      </c>
      <c r="BA32" s="343">
        <f t="shared" si="42"/>
        <v>0</v>
      </c>
      <c r="BB32" s="343">
        <f t="shared" si="42"/>
        <v>0</v>
      </c>
      <c r="BC32" s="343">
        <f t="shared" si="42"/>
        <v>0</v>
      </c>
      <c r="BD32" s="343">
        <f t="shared" si="42"/>
        <v>0</v>
      </c>
      <c r="BE32" s="343">
        <f t="shared" ref="BE32:BH32" si="46">BE29*$D$29</f>
        <v>0</v>
      </c>
      <c r="BF32" s="343">
        <f t="shared" si="46"/>
        <v>0</v>
      </c>
      <c r="BG32" s="343">
        <f t="shared" si="46"/>
        <v>0</v>
      </c>
      <c r="BH32" s="343">
        <f t="shared" si="46"/>
        <v>0</v>
      </c>
      <c r="BI32" s="343">
        <f t="shared" si="42"/>
        <v>0</v>
      </c>
      <c r="BJ32" s="343">
        <f t="shared" si="42"/>
        <v>0</v>
      </c>
      <c r="BK32" s="343">
        <f t="shared" ref="BK32:BL32" si="47">BK29*$D$29</f>
        <v>0</v>
      </c>
      <c r="BL32" s="343">
        <f t="shared" si="47"/>
        <v>0</v>
      </c>
      <c r="BM32" s="344"/>
      <c r="BN32" s="100">
        <f>SUM(E32:BL32)</f>
        <v>0</v>
      </c>
      <c r="BO32" s="100">
        <f>BN32-D29</f>
        <v>0</v>
      </c>
    </row>
    <row r="33" spans="1:67" s="190" customFormat="1" ht="24.9" customHeight="1" x14ac:dyDescent="0.25">
      <c r="A33" s="380" t="s">
        <v>42</v>
      </c>
      <c r="B33" s="383" t="str">
        <f>'Planilha Orçamentária'!D13</f>
        <v>Projeto Urbanístico de Regularização Fundiária</v>
      </c>
      <c r="C33" s="188" t="s">
        <v>13</v>
      </c>
      <c r="D33" s="386">
        <f>'Planilha Orçamentária'!I13</f>
        <v>0</v>
      </c>
      <c r="E33" s="191">
        <f>IF(E34=0,0,IF(E35=0,VLOOKUP(E34,'Memória de Cálculo'!$B$245:$H$280,7,FALSE),VLOOKUP(E34,'Memória de Cálculo'!$B$245:$H$280,7,FALSE)+VLOOKUP(E35,'Memória de Cálculo'!$B$245:$H$280,7,FALSE)))</f>
        <v>0</v>
      </c>
      <c r="F33" s="191">
        <f>IF(F34=0,0,IF(F35=0,VLOOKUP(F34,'Memória de Cálculo'!$B$245:$H$280,7,FALSE),VLOOKUP(F34,'Memória de Cálculo'!$B$245:$H$280,7,FALSE)+VLOOKUP(F35,'Memória de Cálculo'!$B$245:$H$280,7,FALSE)))</f>
        <v>0</v>
      </c>
      <c r="G33" s="191">
        <f>IF(G34=0,0,IF(G35=0,VLOOKUP(G34,'Memória de Cálculo'!$B$245:$H$280,7,FALSE),VLOOKUP(G34,'Memória de Cálculo'!$B$245:$H$280,7,FALSE)+VLOOKUP(G35,'Memória de Cálculo'!$B$245:$H$280,7,FALSE)))</f>
        <v>0</v>
      </c>
      <c r="H33" s="191">
        <f>IF(H34=0,0,IF(H35=0,VLOOKUP(H34,'Memória de Cálculo'!$B$245:$H$280,7,FALSE),VLOOKUP(H34,'Memória de Cálculo'!$B$245:$H$280,7,FALSE)+VLOOKUP(H35,'Memória de Cálculo'!$B$245:$H$280,7,FALSE)))</f>
        <v>0</v>
      </c>
      <c r="I33" s="191">
        <f>IF(I34=0,0,IF(I35=0,VLOOKUP(I34,'Memória de Cálculo'!$B$245:$H$280,7,FALSE),VLOOKUP(I34,'Memória de Cálculo'!$B$245:$H$280,7,FALSE)+VLOOKUP(I35,'Memória de Cálculo'!$B$245:$H$280,7,FALSE)))</f>
        <v>0</v>
      </c>
      <c r="J33" s="191">
        <f>IF(J34=0,0,IF(J35=0,VLOOKUP(J34,'Memória de Cálculo'!$B$245:$H$280,7,FALSE),VLOOKUP(J34,'Memória de Cálculo'!$B$245:$H$280,7,FALSE)+VLOOKUP(J35,'Memória de Cálculo'!$B$245:$H$280,7,FALSE)))</f>
        <v>1.3863294956463922E-2</v>
      </c>
      <c r="K33" s="191">
        <f>IF(K34=0,0,IF(K35=0,VLOOKUP(K34,'Memória de Cálculo'!$B$245:$H$280,7,FALSE),VLOOKUP(K34,'Memória de Cálculo'!$B$245:$H$280,7,FALSE)+VLOOKUP(K35,'Memória de Cálculo'!$B$245:$H$280,7,FALSE)))</f>
        <v>1.3863294956463922E-2</v>
      </c>
      <c r="L33" s="191">
        <f>IF(L34=0,0,IF(L35=0,VLOOKUP(L34,'Memória de Cálculo'!$B$245:$H$280,7,FALSE),VLOOKUP(L34,'Memória de Cálculo'!$B$245:$H$280,7,FALSE)+VLOOKUP(L35,'Memória de Cálculo'!$B$245:$H$280,7,FALSE)))</f>
        <v>1.9732446195979979E-2</v>
      </c>
      <c r="M33" s="191">
        <f>IF(M34=0,0,IF(M35=0,VLOOKUP(M34,'Memória de Cálculo'!$B$245:$H$280,7,FALSE),VLOOKUP(M34,'Memória de Cálculo'!$B$245:$H$280,7,FALSE)+VLOOKUP(M35,'Memória de Cálculo'!$B$245:$H$280,7,FALSE)))</f>
        <v>3.3684657424663533E-2</v>
      </c>
      <c r="N33" s="191">
        <f>IF(N34=0,0,IF(N35=0,VLOOKUP(N34,'Memória de Cálculo'!$B$245:$H$280,7,FALSE),VLOOKUP(N34,'Memória de Cálculo'!$B$245:$H$280,7,FALSE)+VLOOKUP(N35,'Memória de Cálculo'!$B$245:$H$280,7,FALSE)))</f>
        <v>0</v>
      </c>
      <c r="O33" s="191">
        <f>IF(O34=0,0,IF(O35=0,VLOOKUP(O34,'Memória de Cálculo'!$B$245:$H$280,7,FALSE),VLOOKUP(O34,'Memória de Cálculo'!$B$245:$H$280,7,FALSE)+VLOOKUP(O35,'Memória de Cálculo'!$B$245:$H$280,7,FALSE)))</f>
        <v>0</v>
      </c>
      <c r="P33" s="191">
        <f>IF(P34=0,0,IF(P35=0,VLOOKUP(P34,'Memória de Cálculo'!$B$245:$H$280,7,FALSE),VLOOKUP(P34,'Memória de Cálculo'!$B$245:$H$280,7,FALSE)+VLOOKUP(P35,'Memória de Cálculo'!$B$245:$H$280,7,FALSE)))</f>
        <v>1.357171279573207E-2</v>
      </c>
      <c r="Q33" s="191">
        <f>IF(Q34=0,0,IF(Q35=0,VLOOKUP(Q34,'Memória de Cálculo'!$B$245:$H$280,7,FALSE),VLOOKUP(Q34,'Memória de Cálculo'!$B$245:$H$280,7,FALSE)+VLOOKUP(Q35,'Memória de Cálculo'!$B$245:$H$280,7,FALSE)))</f>
        <v>3.5122443544294848E-2</v>
      </c>
      <c r="R33" s="191">
        <f>IF(R34=0,0,IF(R35=0,VLOOKUP(R34,'Memória de Cálculo'!$B$245:$H$280,7,FALSE),VLOOKUP(R34,'Memória de Cálculo'!$B$245:$H$280,7,FALSE)+VLOOKUP(R35,'Memória de Cálculo'!$B$245:$H$280,7,FALSE)))</f>
        <v>3.5122443544294848E-2</v>
      </c>
      <c r="S33" s="191">
        <f>IF(S34=0,0,IF(S35=0,VLOOKUP(S34,'Memória de Cálculo'!$B$245:$H$280,7,FALSE),VLOOKUP(S34,'Memória de Cálculo'!$B$245:$H$280,7,FALSE)+VLOOKUP(S35,'Memória de Cálculo'!$B$245:$H$280,7,FALSE)))</f>
        <v>0</v>
      </c>
      <c r="T33" s="191">
        <f>IF(T34=0,0,IF(T35=0,VLOOKUP(T34,'Memória de Cálculo'!$B$245:$H$280,7,FALSE),VLOOKUP(T34,'Memória de Cálculo'!$B$245:$H$280,7,FALSE)+VLOOKUP(T35,'Memória de Cálculo'!$B$245:$H$280,7,FALSE)))</f>
        <v>0</v>
      </c>
      <c r="U33" s="191">
        <f>IF(U34=0,0,IF(U35=0,VLOOKUP(U34,'Memória de Cálculo'!$B$245:$H$280,7,FALSE),VLOOKUP(U34,'Memória de Cálculo'!$B$245:$H$280,7,FALSE)+VLOOKUP(U35,'Memória de Cálculo'!$B$245:$H$280,7,FALSE)))</f>
        <v>3.8776266985926719E-2</v>
      </c>
      <c r="V33" s="191">
        <f>IF(V34=0,0,IF(V35=0,VLOOKUP(V34,'Memória de Cálculo'!$B$245:$H$280,7,FALSE),VLOOKUP(V34,'Memória de Cálculo'!$B$245:$H$280,7,FALSE)+VLOOKUP(V35,'Memória de Cálculo'!$B$245:$H$280,7,FALSE)))</f>
        <v>5.1638326660904045E-2</v>
      </c>
      <c r="W33" s="191">
        <f>IF(W34=0,0,IF(W35=0,VLOOKUP(W34,'Memória de Cálculo'!$B$245:$H$280,7,FALSE),VLOOKUP(W34,'Memória de Cálculo'!$B$245:$H$280,7,FALSE)+VLOOKUP(W35,'Memória de Cálculo'!$B$245:$H$280,7,FALSE)))</f>
        <v>5.1638326660904045E-2</v>
      </c>
      <c r="X33" s="191">
        <f>IF(X34=0,0,IF(X35=0,VLOOKUP(X34,'Memória de Cálculo'!$B$245:$H$280,7,FALSE),VLOOKUP(X34,'Memória de Cálculo'!$B$245:$H$280,7,FALSE)+VLOOKUP(X35,'Memória de Cálculo'!$B$245:$H$280,7,FALSE)))</f>
        <v>5.2969393903214076E-2</v>
      </c>
      <c r="Y33" s="191">
        <f>IF(Y34=0,0,IF(Y35=0,VLOOKUP(Y34,'Memória de Cálculo'!$B$245:$H$280,7,FALSE),VLOOKUP(Y34,'Memória de Cálculo'!$B$245:$H$280,7,FALSE)+VLOOKUP(Y35,'Memória de Cálculo'!$B$245:$H$280,7,FALSE)))</f>
        <v>3.9301185827655689E-4</v>
      </c>
      <c r="Z33" s="191">
        <f>IF(Z34=0,0,IF(Z35=0,VLOOKUP(Z34,'Memória de Cálculo'!$B$245:$H$280,7,FALSE),VLOOKUP(Z34,'Memória de Cálculo'!$B$245:$H$280,7,FALSE)+VLOOKUP(Z35,'Memória de Cálculo'!$B$245:$H$280,7,FALSE)))</f>
        <v>0</v>
      </c>
      <c r="AA33" s="191">
        <f>IF(AA34=0,0,IF(AA35=0,VLOOKUP(AA34,'Memória de Cálculo'!$B$245:$H$280,7,FALSE),VLOOKUP(AA34,'Memória de Cálculo'!$B$245:$H$280,7,FALSE)+VLOOKUP(AA35,'Memória de Cálculo'!$B$245:$H$280,7,FALSE)))</f>
        <v>3.6743125630468616E-2</v>
      </c>
      <c r="AB33" s="191">
        <f>IF(AB34=0,0,IF(AB35=0,VLOOKUP(AB34,'Memória de Cálculo'!$B$245:$H$280,7,FALSE),VLOOKUP(AB34,'Memória de Cálculo'!$B$245:$H$280,7,FALSE)+VLOOKUP(AB35,'Memória de Cálculo'!$B$245:$H$280,7,FALSE)))</f>
        <v>6.1796905945934649E-2</v>
      </c>
      <c r="AC33" s="191">
        <f>IF(AC34=0,0,IF(AC35=0,VLOOKUP(AC34,'Memória de Cálculo'!$B$245:$H$280,7,FALSE),VLOOKUP(AC34,'Memória de Cálculo'!$B$245:$H$280,7,FALSE)+VLOOKUP(AC35,'Memória de Cálculo'!$B$245:$H$280,7,FALSE)))</f>
        <v>2.5053780315466033E-2</v>
      </c>
      <c r="AD33" s="191">
        <f>IF(AD34=0,0,IF(AD35=0,VLOOKUP(AD34,'Memória de Cálculo'!$B$245:$H$280,7,FALSE),VLOOKUP(AD34,'Memória de Cálculo'!$B$245:$H$280,7,FALSE)+VLOOKUP(AD35,'Memória de Cálculo'!$B$245:$H$280,7,FALSE)))</f>
        <v>2.606804503981688E-2</v>
      </c>
      <c r="AE33" s="191">
        <f>IF(AE34=0,0,IF(AE35=0,VLOOKUP(AE34,'Memória de Cálculo'!$B$245:$H$280,7,FALSE),VLOOKUP(AE34,'Memória de Cálculo'!$B$245:$H$280,7,FALSE)+VLOOKUP(AE35,'Memória de Cálculo'!$B$245:$H$280,7,FALSE)))</f>
        <v>0</v>
      </c>
      <c r="AF33" s="191">
        <f>IF(AF34=0,0,IF(AF35=0,VLOOKUP(AF34,'Memória de Cálculo'!$B$245:$H$280,7,FALSE),VLOOKUP(AF34,'Memória de Cálculo'!$B$245:$H$280,7,FALSE)+VLOOKUP(AF35,'Memória de Cálculo'!$B$245:$H$280,7,FALSE)))</f>
        <v>2.7936641302469551E-2</v>
      </c>
      <c r="AG33" s="191">
        <f>IF(AG34=0,0,IF(AG35=0,VLOOKUP(AG34,'Memória de Cálculo'!$B$245:$H$280,7,FALSE),VLOOKUP(AG34,'Memória de Cálculo'!$B$245:$H$280,7,FALSE)+VLOOKUP(AG35,'Memória de Cálculo'!$B$245:$H$280,7,FALSE)))</f>
        <v>2.8468977896324209E-2</v>
      </c>
      <c r="AH33" s="191">
        <f>IF(AH34=0,0,IF(AH35=0,VLOOKUP(AH34,'Memória de Cálculo'!$B$245:$H$280,7,FALSE),VLOOKUP(AH34,'Memória de Cálculo'!$B$245:$H$280,7,FALSE)+VLOOKUP(AH35,'Memória de Cálculo'!$B$245:$H$280,7,FALSE)))</f>
        <v>8.9388428267982607E-3</v>
      </c>
      <c r="AI33" s="191">
        <f>IF(AI34=0,0,IF(AI35=0,VLOOKUP(AI34,'Memória de Cálculo'!$B$245:$H$280,7,FALSE),VLOOKUP(AI34,'Memória de Cálculo'!$B$245:$H$280,7,FALSE)+VLOOKUP(AI35,'Memória de Cálculo'!$B$245:$H$280,7,FALSE)))</f>
        <v>1.2359265085240614E-3</v>
      </c>
      <c r="AJ33" s="191">
        <f>IF(AJ34=0,0,IF(AJ35=0,VLOOKUP(AJ34,'Memória de Cálculo'!$B$245:$H$280,7,FALSE),VLOOKUP(AJ34,'Memória de Cálculo'!$B$245:$H$280,7,FALSE)+VLOOKUP(AJ35,'Memória de Cálculo'!$B$245:$H$280,7,FALSE)))</f>
        <v>1.349476168020213E-2</v>
      </c>
      <c r="AK33" s="191">
        <f>IF(AK34=0,0,IF(AK35=0,VLOOKUP(AK34,'Memória de Cálculo'!$B$245:$H$280,7,FALSE),VLOOKUP(AK34,'Memória de Cálculo'!$B$245:$H$280,7,FALSE)+VLOOKUP(AK35,'Memória de Cálculo'!$B$245:$H$280,7,FALSE)))</f>
        <v>1.3014865368766452E-2</v>
      </c>
      <c r="AL33" s="191">
        <f>IF(AL34=0,0,IF(AL35=0,VLOOKUP(AL34,'Memória de Cálculo'!$B$245:$H$280,7,FALSE),VLOOKUP(AL34,'Memória de Cálculo'!$B$245:$H$280,7,FALSE)+VLOOKUP(AL35,'Memória de Cálculo'!$B$245:$H$280,7,FALSE)))</f>
        <v>0</v>
      </c>
      <c r="AM33" s="191">
        <f>IF(AM34=0,0,IF(AM35=0,VLOOKUP(AM34,'Memória de Cálculo'!$B$245:$H$280,7,FALSE),VLOOKUP(AM34,'Memória de Cálculo'!$B$245:$H$280,7,FALSE)+VLOOKUP(AM35,'Memória de Cálculo'!$B$245:$H$280,7,FALSE)))</f>
        <v>1.2724605502978744E-2</v>
      </c>
      <c r="AN33" s="191">
        <f>IF(AN34=0,0,IF(AN35=0,VLOOKUP(AN34,'Memória de Cálculo'!$B$245:$H$280,7,FALSE),VLOOKUP(AN34,'Memória de Cálculo'!$B$245:$H$280,7,FALSE)+VLOOKUP(AN35,'Memória de Cálculo'!$B$245:$H$280,7,FALSE)))</f>
        <v>2.4084022103869299E-2</v>
      </c>
      <c r="AO33" s="191">
        <f>IF(AO34=0,0,IF(AO35=0,VLOOKUP(AO34,'Memória de Cálculo'!$B$245:$H$280,7,FALSE),VLOOKUP(AO34,'Memória de Cálculo'!$B$245:$H$280,7,FALSE)+VLOOKUP(AO35,'Memória de Cálculo'!$B$245:$H$280,7,FALSE)))</f>
        <v>0</v>
      </c>
      <c r="AP33" s="191">
        <f>IF(AP34=0,0,IF(AP35=0,VLOOKUP(AP34,'Memória de Cálculo'!$B$245:$H$280,7,FALSE),VLOOKUP(AP34,'Memória de Cálculo'!$B$245:$H$280,7,FALSE)+VLOOKUP(AP35,'Memória de Cálculo'!$B$245:$H$280,7,FALSE)))</f>
        <v>4.6314831717972675E-2</v>
      </c>
      <c r="AQ33" s="191">
        <f>IF(AQ34=0,0,IF(AQ35=0,VLOOKUP(AQ34,'Memória de Cálculo'!$B$245:$H$280,7,FALSE),VLOOKUP(AQ34,'Memória de Cálculo'!$B$245:$H$280,7,FALSE)+VLOOKUP(AQ35,'Memória de Cálculo'!$B$245:$H$280,7,FALSE)))</f>
        <v>4.926677455303367E-4</v>
      </c>
      <c r="AR33" s="191">
        <f>IF(AR34=0,0,IF(AR35=0,VLOOKUP(AR34,'Memória de Cálculo'!$B$245:$H$280,7,FALSE),VLOOKUP(AR34,'Memória de Cálculo'!$B$245:$H$280,7,FALSE)+VLOOKUP(AR35,'Memória de Cálculo'!$B$245:$H$280,7,FALSE)))</f>
        <v>0</v>
      </c>
      <c r="AS33" s="191">
        <f>IF(AS34=0,0,IF(AS35=0,VLOOKUP(AS34,'Memória de Cálculo'!$B$245:$H$280,7,FALSE),VLOOKUP(AS34,'Memória de Cálculo'!$B$245:$H$280,7,FALSE)+VLOOKUP(AS35,'Memória de Cálculo'!$B$245:$H$280,7,FALSE)))</f>
        <v>5.0428491289204673E-2</v>
      </c>
      <c r="AT33" s="191">
        <f>IF(AT34=0,0,IF(AT35=0,VLOOKUP(AT34,'Memória de Cálculo'!$B$245:$H$280,7,FALSE),VLOOKUP(AT34,'Memória de Cálculo'!$B$245:$H$280,7,FALSE)+VLOOKUP(AT35,'Memória de Cálculo'!$B$245:$H$280,7,FALSE)))</f>
        <v>2.6718130385892751E-2</v>
      </c>
      <c r="AU33" s="191">
        <f>IF(AU34=0,0,IF(AU35=0,VLOOKUP(AU34,'Memória de Cálculo'!$B$245:$H$280,7,FALSE),VLOOKUP(AU34,'Memória de Cálculo'!$B$245:$H$280,7,FALSE)+VLOOKUP(AU35,'Memória de Cálculo'!$B$245:$H$280,7,FALSE)))</f>
        <v>1.0060793961356349E-2</v>
      </c>
      <c r="AV33" s="191">
        <f>IF(AV34=0,0,IF(AV35=0,VLOOKUP(AV34,'Memória de Cálculo'!$B$245:$H$280,7,FALSE),VLOOKUP(AV34,'Memória de Cálculo'!$B$245:$H$280,7,FALSE)+VLOOKUP(AV35,'Memória de Cálculo'!$B$245:$H$280,7,FALSE)))</f>
        <v>1.4586235528852508E-2</v>
      </c>
      <c r="AW33" s="191">
        <f>IF(AW34=0,0,IF(AW35=0,VLOOKUP(AW34,'Memória de Cálculo'!$B$245:$H$280,7,FALSE),VLOOKUP(AW34,'Memória de Cálculo'!$B$245:$H$280,7,FALSE)+VLOOKUP(AW35,'Memória de Cálculo'!$B$245:$H$280,7,FALSE)))</f>
        <v>1.4586235528852508E-2</v>
      </c>
      <c r="AX33" s="191">
        <f>IF(AX34=0,0,IF(AX35=0,VLOOKUP(AX34,'Memória de Cálculo'!$B$245:$H$280,7,FALSE),VLOOKUP(AX34,'Memória de Cálculo'!$B$245:$H$280,7,FALSE)+VLOOKUP(AX35,'Memória de Cálculo'!$B$245:$H$280,7,FALSE)))</f>
        <v>0</v>
      </c>
      <c r="AY33" s="191">
        <f>IF(AY34=0,0,IF(AY35=0,VLOOKUP(AY34,'Memória de Cálculo'!$B$245:$H$280,7,FALSE),VLOOKUP(AY34,'Memória de Cálculo'!$B$245:$H$280,7,FALSE)+VLOOKUP(AY35,'Memória de Cálculo'!$B$245:$H$280,7,FALSE)))</f>
        <v>0</v>
      </c>
      <c r="AZ33" s="191">
        <f>IF(AZ34=0,0,IF(AZ35=0,VLOOKUP(AZ34,'Memória de Cálculo'!$B$245:$H$280,7,FALSE),VLOOKUP(AZ34,'Memória de Cálculo'!$B$245:$H$280,7,FALSE)+VLOOKUP(AZ35,'Memória de Cálculo'!$B$245:$H$280,7,FALSE)))</f>
        <v>0</v>
      </c>
      <c r="BA33" s="191">
        <f>IF(BA34=0,0,IF(BA35=0,VLOOKUP(BA34,'Memória de Cálculo'!$B$245:$H$280,7,FALSE),VLOOKUP(BA34,'Memória de Cálculo'!$B$245:$H$280,7,FALSE)+VLOOKUP(BA35,'Memória de Cálculo'!$B$245:$H$280,7,FALSE)))</f>
        <v>0</v>
      </c>
      <c r="BB33" s="191">
        <f>IF(BB34=0,0,IF(BB35=0,VLOOKUP(BB34,'Memória de Cálculo'!$B$245:$H$280,7,FALSE),VLOOKUP(BB34,'Memória de Cálculo'!$B$245:$H$280,7,FALSE)+VLOOKUP(BB35,'Memória de Cálculo'!$B$245:$H$280,7,FALSE)))</f>
        <v>0</v>
      </c>
      <c r="BC33" s="191">
        <f>IF(BC34=0,0,IF(BC35=0,VLOOKUP(BC34,'Memória de Cálculo'!$B$245:$H$280,7,FALSE),VLOOKUP(BC34,'Memória de Cálculo'!$B$245:$H$280,7,FALSE)+VLOOKUP(BC35,'Memória de Cálculo'!$B$245:$H$280,7,FALSE)))</f>
        <v>1.3368530889680675E-2</v>
      </c>
      <c r="BD33" s="191">
        <f>IF(BD34=0,0,IF(BD35=0,VLOOKUP(BD34,'Memória de Cálculo'!$B$245:$H$280,7,FALSE),VLOOKUP(BD34,'Memória de Cálculo'!$B$245:$H$280,7,FALSE)+VLOOKUP(BD35,'Memória de Cálculo'!$B$245:$H$280,7,FALSE)))</f>
        <v>1.3368530889680675E-2</v>
      </c>
      <c r="BE33" s="191">
        <f>IF(BE34=0,0,IF(BE35=0,VLOOKUP(BE34,'Memória de Cálculo'!$B$245:$H$280,7,FALSE),VLOOKUP(BE34,'Memória de Cálculo'!$B$245:$H$280,7,FALSE)+VLOOKUP(BE35,'Memória de Cálculo'!$B$245:$H$280,7,FALSE)))</f>
        <v>3.9128900471762582E-2</v>
      </c>
      <c r="BF33" s="191">
        <f>IF(BF34=0,0,IF(BF35=0,VLOOKUP(BF34,'Memória de Cálculo'!$B$245:$H$280,7,FALSE),VLOOKUP(BF34,'Memória de Cálculo'!$B$245:$H$280,7,FALSE)+VLOOKUP(BF35,'Memória de Cálculo'!$B$245:$H$280,7,FALSE)))</f>
        <v>2.5760369582081909E-2</v>
      </c>
      <c r="BG33" s="191">
        <f>IF(BG34=0,0,IF(BG35=0,VLOOKUP(BG34,'Memória de Cálculo'!$B$245:$H$280,7,FALSE),VLOOKUP(BG34,'Memória de Cálculo'!$B$245:$H$280,7,FALSE)+VLOOKUP(BG35,'Memória de Cálculo'!$B$245:$H$280,7,FALSE)))</f>
        <v>2.6427386753662064E-2</v>
      </c>
      <c r="BH33" s="191">
        <f>IF(BH34=0,0,IF(BH35=0,VLOOKUP(BH34,'Memória de Cálculo'!$B$245:$H$280,7,FALSE),VLOOKUP(BH34,'Memória de Cálculo'!$B$245:$H$280,7,FALSE)+VLOOKUP(BH35,'Memória de Cálculo'!$B$245:$H$280,7,FALSE)))</f>
        <v>4.9359270696931357E-2</v>
      </c>
      <c r="BI33" s="191">
        <f>IF(BI34=0,0,IF(BI35=0,VLOOKUP(BI34,'Memória de Cálculo'!$B$245:$H$280,7,FALSE),VLOOKUP(BI34,'Memória de Cálculo'!$B$245:$H$280,7,FALSE)+VLOOKUP(BI35,'Memória de Cálculo'!$B$245:$H$280,7,FALSE)))</f>
        <v>4.1758719357991615E-3</v>
      </c>
      <c r="BJ33" s="191">
        <f>IF(BJ34=0,0,IF(BJ35=0,VLOOKUP(BJ34,'Memória de Cálculo'!$B$245:$H$280,7,FALSE),VLOOKUP(BJ34,'Memória de Cálculo'!$B$245:$H$280,7,FALSE)+VLOOKUP(BJ35,'Memória de Cálculo'!$B$245:$H$280,7,FALSE)))</f>
        <v>2.5287633014002331E-2</v>
      </c>
      <c r="BK33" s="191">
        <f>IF(BK34=0,0,IF(BK35=0,VLOOKUP(BK34,'Memória de Cálculo'!$B$245:$H$280,7,FALSE),VLOOKUP(BK34,'Memória de Cálculo'!$B$245:$H$280,7,FALSE)+VLOOKUP(BK35,'Memória de Cálculo'!$B$245:$H$280,7,FALSE)))</f>
        <v>0</v>
      </c>
      <c r="BL33" s="191">
        <f>IF(BL34=0,0,IF(BL35=0,VLOOKUP(BL34,'Memória de Cálculo'!$B$245:$H$280,7,FALSE),VLOOKUP(BL34,'Memória de Cálculo'!$B$245:$H$280,7,FALSE)+VLOOKUP(BL35,'Memória de Cálculo'!$B$245:$H$280,7,FALSE)))</f>
        <v>0</v>
      </c>
      <c r="BM33" s="189"/>
    </row>
    <row r="34" spans="1:67" s="190" customFormat="1" ht="24.9" hidden="1" customHeight="1" x14ac:dyDescent="0.25">
      <c r="A34" s="381"/>
      <c r="B34" s="384"/>
      <c r="C34" s="378" t="s">
        <v>861</v>
      </c>
      <c r="D34" s="387"/>
      <c r="E34" s="348"/>
      <c r="F34" s="348"/>
      <c r="G34" s="348"/>
      <c r="H34" s="348"/>
      <c r="I34" s="348"/>
      <c r="J34" s="348" t="s">
        <v>782</v>
      </c>
      <c r="K34" s="348" t="s">
        <v>782</v>
      </c>
      <c r="L34" s="348" t="s">
        <v>779</v>
      </c>
      <c r="M34" s="348" t="s">
        <v>779</v>
      </c>
      <c r="N34" s="348"/>
      <c r="O34" s="348"/>
      <c r="P34" s="348" t="s">
        <v>783</v>
      </c>
      <c r="Q34" s="348" t="s">
        <v>785</v>
      </c>
      <c r="R34" s="348" t="s">
        <v>785</v>
      </c>
      <c r="S34" s="348"/>
      <c r="T34" s="348"/>
      <c r="U34" s="348" t="s">
        <v>808</v>
      </c>
      <c r="V34" s="348" t="s">
        <v>808</v>
      </c>
      <c r="W34" s="348" t="s">
        <v>808</v>
      </c>
      <c r="X34" s="348" t="s">
        <v>786</v>
      </c>
      <c r="Y34" s="348" t="s">
        <v>787</v>
      </c>
      <c r="Z34" s="348"/>
      <c r="AA34" s="348" t="s">
        <v>788</v>
      </c>
      <c r="AB34" s="348" t="s">
        <v>788</v>
      </c>
      <c r="AC34" s="348" t="s">
        <v>789</v>
      </c>
      <c r="AD34" s="348" t="s">
        <v>790</v>
      </c>
      <c r="AE34" s="348"/>
      <c r="AF34" s="348" t="s">
        <v>791</v>
      </c>
      <c r="AG34" s="348" t="s">
        <v>791</v>
      </c>
      <c r="AH34" s="348" t="s">
        <v>794</v>
      </c>
      <c r="AI34" s="348" t="s">
        <v>797</v>
      </c>
      <c r="AJ34" s="348" t="s">
        <v>799</v>
      </c>
      <c r="AK34" s="348" t="s">
        <v>798</v>
      </c>
      <c r="AL34" s="348"/>
      <c r="AM34" s="348" t="s">
        <v>802</v>
      </c>
      <c r="AN34" s="348" t="s">
        <v>801</v>
      </c>
      <c r="AO34" s="348"/>
      <c r="AP34" s="348" t="s">
        <v>803</v>
      </c>
      <c r="AQ34" s="348" t="s">
        <v>805</v>
      </c>
      <c r="AR34" s="348"/>
      <c r="AS34" s="348" t="s">
        <v>806</v>
      </c>
      <c r="AT34" s="348" t="s">
        <v>806</v>
      </c>
      <c r="AU34" s="348" t="s">
        <v>810</v>
      </c>
      <c r="AV34" s="348" t="s">
        <v>809</v>
      </c>
      <c r="AW34" s="348" t="s">
        <v>809</v>
      </c>
      <c r="AX34" s="348"/>
      <c r="AY34" s="348"/>
      <c r="AZ34" s="348"/>
      <c r="BA34" s="348"/>
      <c r="BB34" s="348"/>
      <c r="BC34" s="348" t="s">
        <v>811</v>
      </c>
      <c r="BD34" s="348" t="s">
        <v>811</v>
      </c>
      <c r="BE34" s="348" t="s">
        <v>812</v>
      </c>
      <c r="BF34" s="348" t="s">
        <v>812</v>
      </c>
      <c r="BG34" s="348" t="s">
        <v>814</v>
      </c>
      <c r="BH34" s="348" t="s">
        <v>814</v>
      </c>
      <c r="BI34" s="348" t="s">
        <v>815</v>
      </c>
      <c r="BJ34" s="348" t="s">
        <v>816</v>
      </c>
      <c r="BK34" s="348"/>
      <c r="BL34" s="348"/>
      <c r="BM34" s="189"/>
    </row>
    <row r="35" spans="1:67" s="190" customFormat="1" ht="24.9" hidden="1" customHeight="1" x14ac:dyDescent="0.25">
      <c r="A35" s="381"/>
      <c r="B35" s="384"/>
      <c r="C35" s="379"/>
      <c r="D35" s="387"/>
      <c r="E35" s="337"/>
      <c r="F35" s="337"/>
      <c r="G35" s="337"/>
      <c r="H35" s="337"/>
      <c r="I35" s="337"/>
      <c r="J35" s="337"/>
      <c r="K35" s="337"/>
      <c r="L35" s="337"/>
      <c r="M35" s="337" t="s">
        <v>784</v>
      </c>
      <c r="N35" s="337"/>
      <c r="O35" s="337"/>
      <c r="P35" s="337"/>
      <c r="Q35" s="337" t="s">
        <v>783</v>
      </c>
      <c r="R35" s="337" t="s">
        <v>783</v>
      </c>
      <c r="S35" s="337"/>
      <c r="T35" s="337"/>
      <c r="U35" s="337"/>
      <c r="V35" s="337" t="s">
        <v>793</v>
      </c>
      <c r="W35" s="337" t="s">
        <v>793</v>
      </c>
      <c r="X35" s="337" t="s">
        <v>793</v>
      </c>
      <c r="Y35" s="337"/>
      <c r="Z35" s="337"/>
      <c r="AA35" s="337"/>
      <c r="AB35" s="337" t="s">
        <v>789</v>
      </c>
      <c r="AC35" s="337"/>
      <c r="AD35" s="337"/>
      <c r="AE35" s="337"/>
      <c r="AF35" s="337" t="s">
        <v>792</v>
      </c>
      <c r="AG35" s="337" t="s">
        <v>795</v>
      </c>
      <c r="AH35" s="337" t="s">
        <v>796</v>
      </c>
      <c r="AI35" s="337"/>
      <c r="AJ35" s="337"/>
      <c r="AK35" s="337" t="s">
        <v>800</v>
      </c>
      <c r="AL35" s="337"/>
      <c r="AM35" s="337"/>
      <c r="AN35" s="337"/>
      <c r="AO35" s="337"/>
      <c r="AP35" s="337" t="s">
        <v>804</v>
      </c>
      <c r="AQ35" s="337"/>
      <c r="AR35" s="337"/>
      <c r="AS35" s="337" t="s">
        <v>807</v>
      </c>
      <c r="AT35" s="337"/>
      <c r="AU35" s="337"/>
      <c r="AV35" s="337"/>
      <c r="AW35" s="337"/>
      <c r="AX35" s="337"/>
      <c r="AY35" s="337"/>
      <c r="AZ35" s="337"/>
      <c r="BA35" s="337"/>
      <c r="BB35" s="337"/>
      <c r="BC35" s="337"/>
      <c r="BD35" s="337"/>
      <c r="BE35" s="337" t="s">
        <v>811</v>
      </c>
      <c r="BF35" s="337"/>
      <c r="BG35" s="337"/>
      <c r="BH35" s="337" t="s">
        <v>813</v>
      </c>
      <c r="BI35" s="337"/>
      <c r="BJ35" s="337"/>
      <c r="BK35" s="337"/>
      <c r="BL35" s="337"/>
      <c r="BM35" s="189"/>
    </row>
    <row r="36" spans="1:67" s="100" customFormat="1" ht="24.9" customHeight="1" x14ac:dyDescent="0.25">
      <c r="A36" s="382"/>
      <c r="B36" s="385"/>
      <c r="C36" s="334" t="s">
        <v>14</v>
      </c>
      <c r="D36" s="388"/>
      <c r="E36" s="343">
        <f>E33*$D$33</f>
        <v>0</v>
      </c>
      <c r="F36" s="343">
        <f t="shared" ref="F36:BJ36" si="48">F33*$D$33</f>
        <v>0</v>
      </c>
      <c r="G36" s="343">
        <f t="shared" si="48"/>
        <v>0</v>
      </c>
      <c r="H36" s="343">
        <f t="shared" si="48"/>
        <v>0</v>
      </c>
      <c r="I36" s="343">
        <f t="shared" si="48"/>
        <v>0</v>
      </c>
      <c r="J36" s="343">
        <f t="shared" si="48"/>
        <v>0</v>
      </c>
      <c r="K36" s="343">
        <f t="shared" si="48"/>
        <v>0</v>
      </c>
      <c r="L36" s="343">
        <f t="shared" si="48"/>
        <v>0</v>
      </c>
      <c r="M36" s="343">
        <f t="shared" si="48"/>
        <v>0</v>
      </c>
      <c r="N36" s="343">
        <f t="shared" si="48"/>
        <v>0</v>
      </c>
      <c r="O36" s="343">
        <f t="shared" si="48"/>
        <v>0</v>
      </c>
      <c r="P36" s="343">
        <f>P33*$D$33</f>
        <v>0</v>
      </c>
      <c r="Q36" s="343">
        <f>Q33*$D$33</f>
        <v>0</v>
      </c>
      <c r="R36" s="343">
        <f t="shared" ref="R36:AA36" si="49">R33*$D$33</f>
        <v>0</v>
      </c>
      <c r="S36" s="343">
        <f t="shared" si="49"/>
        <v>0</v>
      </c>
      <c r="T36" s="343">
        <f t="shared" si="49"/>
        <v>0</v>
      </c>
      <c r="U36" s="343">
        <f t="shared" si="49"/>
        <v>0</v>
      </c>
      <c r="V36" s="343">
        <f t="shared" si="49"/>
        <v>0</v>
      </c>
      <c r="W36" s="343">
        <f t="shared" si="49"/>
        <v>0</v>
      </c>
      <c r="X36" s="343">
        <f t="shared" si="49"/>
        <v>0</v>
      </c>
      <c r="Y36" s="343">
        <f t="shared" si="49"/>
        <v>0</v>
      </c>
      <c r="Z36" s="343">
        <f t="shared" si="49"/>
        <v>0</v>
      </c>
      <c r="AA36" s="343">
        <f t="shared" si="49"/>
        <v>0</v>
      </c>
      <c r="AB36" s="343">
        <f>AB33*$D$33</f>
        <v>0</v>
      </c>
      <c r="AC36" s="343">
        <f>AC33*$D$33</f>
        <v>0</v>
      </c>
      <c r="AD36" s="343">
        <f t="shared" ref="AD36:AM36" si="50">AD33*$D$33</f>
        <v>0</v>
      </c>
      <c r="AE36" s="343">
        <f t="shared" si="50"/>
        <v>0</v>
      </c>
      <c r="AF36" s="343">
        <f t="shared" si="50"/>
        <v>0</v>
      </c>
      <c r="AG36" s="343">
        <f t="shared" si="50"/>
        <v>0</v>
      </c>
      <c r="AH36" s="343">
        <f t="shared" si="50"/>
        <v>0</v>
      </c>
      <c r="AI36" s="343">
        <f t="shared" si="50"/>
        <v>0</v>
      </c>
      <c r="AJ36" s="343">
        <f t="shared" si="50"/>
        <v>0</v>
      </c>
      <c r="AK36" s="343">
        <f t="shared" si="50"/>
        <v>0</v>
      </c>
      <c r="AL36" s="343">
        <f t="shared" si="50"/>
        <v>0</v>
      </c>
      <c r="AM36" s="343">
        <f t="shared" si="50"/>
        <v>0</v>
      </c>
      <c r="AN36" s="343">
        <f>AN33*$D$33</f>
        <v>0</v>
      </c>
      <c r="AO36" s="343">
        <f>AO33*$D$33</f>
        <v>0</v>
      </c>
      <c r="AP36" s="343">
        <f t="shared" ref="AP36:AY36" si="51">AP33*$D$33</f>
        <v>0</v>
      </c>
      <c r="AQ36" s="343">
        <f t="shared" si="51"/>
        <v>0</v>
      </c>
      <c r="AR36" s="343">
        <f t="shared" si="51"/>
        <v>0</v>
      </c>
      <c r="AS36" s="343">
        <f t="shared" si="51"/>
        <v>0</v>
      </c>
      <c r="AT36" s="343">
        <f t="shared" si="51"/>
        <v>0</v>
      </c>
      <c r="AU36" s="343">
        <f t="shared" si="51"/>
        <v>0</v>
      </c>
      <c r="AV36" s="343">
        <f t="shared" si="51"/>
        <v>0</v>
      </c>
      <c r="AW36" s="343">
        <f t="shared" si="51"/>
        <v>0</v>
      </c>
      <c r="AX36" s="343">
        <f t="shared" si="51"/>
        <v>0</v>
      </c>
      <c r="AY36" s="343">
        <f t="shared" si="51"/>
        <v>0</v>
      </c>
      <c r="AZ36" s="343">
        <f t="shared" si="48"/>
        <v>0</v>
      </c>
      <c r="BA36" s="343">
        <f t="shared" si="48"/>
        <v>0</v>
      </c>
      <c r="BB36" s="343">
        <f t="shared" si="48"/>
        <v>0</v>
      </c>
      <c r="BC36" s="343">
        <f t="shared" si="48"/>
        <v>0</v>
      </c>
      <c r="BD36" s="343">
        <f t="shared" si="48"/>
        <v>0</v>
      </c>
      <c r="BE36" s="343">
        <f t="shared" ref="BE36:BH36" si="52">BE33*$D$33</f>
        <v>0</v>
      </c>
      <c r="BF36" s="343">
        <f t="shared" si="52"/>
        <v>0</v>
      </c>
      <c r="BG36" s="343">
        <f t="shared" si="52"/>
        <v>0</v>
      </c>
      <c r="BH36" s="343">
        <f t="shared" si="52"/>
        <v>0</v>
      </c>
      <c r="BI36" s="343">
        <f t="shared" si="48"/>
        <v>0</v>
      </c>
      <c r="BJ36" s="343">
        <f t="shared" si="48"/>
        <v>0</v>
      </c>
      <c r="BK36" s="343">
        <f t="shared" ref="BK36:BL36" si="53">BK33*$D$33</f>
        <v>0</v>
      </c>
      <c r="BL36" s="343">
        <f t="shared" si="53"/>
        <v>0</v>
      </c>
      <c r="BM36" s="344"/>
      <c r="BN36" s="100">
        <f>SUM(E36:BL36)</f>
        <v>0</v>
      </c>
      <c r="BO36" s="100">
        <f>BN36-D33</f>
        <v>0</v>
      </c>
    </row>
    <row r="37" spans="1:67" s="190" customFormat="1" ht="24.9" customHeight="1" x14ac:dyDescent="0.25">
      <c r="A37" s="380" t="s">
        <v>43</v>
      </c>
      <c r="B37" s="383" t="str">
        <f>'Planilha Orçamentária'!D14</f>
        <v>Estudo Técnico Ambiental</v>
      </c>
      <c r="C37" s="188" t="s">
        <v>13</v>
      </c>
      <c r="D37" s="386">
        <f>'Planilha Orçamentária'!I14</f>
        <v>0</v>
      </c>
      <c r="E37" s="191">
        <f>IF(E38=0,0,IF(E39=0,VLOOKUP(E38,'Memória de Cálculo'!$B$284:$H$319,7,FALSE),VLOOKUP(E38,'Memória de Cálculo'!$B$284:$H$319,7,FALSE)+VLOOKUP(E39,'Memória de Cálculo'!$B$284:$H$319,7,FALSE)))</f>
        <v>0</v>
      </c>
      <c r="F37" s="191">
        <f>IF(F38=0,0,IF(F39=0,VLOOKUP(F38,'Memória de Cálculo'!$B$284:$H$319,7,FALSE),VLOOKUP(F38,'Memória de Cálculo'!$B$284:$H$319,7,FALSE)+VLOOKUP(F39,'Memória de Cálculo'!$B$284:$H$319,7,FALSE)))</f>
        <v>0</v>
      </c>
      <c r="G37" s="191">
        <f>IF(G38=0,0,IF(G39=0,VLOOKUP(G38,'Memória de Cálculo'!$B$284:$H$319,7,FALSE),VLOOKUP(G38,'Memória de Cálculo'!$B$284:$H$319,7,FALSE)+VLOOKUP(G39,'Memória de Cálculo'!$B$284:$H$319,7,FALSE)))</f>
        <v>1.5815085158150853E-2</v>
      </c>
      <c r="H37" s="191">
        <f>IF(H38=0,0,IF(H39=0,VLOOKUP(H38,'Memória de Cálculo'!$B$284:$H$319,7,FALSE),VLOOKUP(H38,'Memória de Cálculo'!$B$284:$H$319,7,FALSE)+VLOOKUP(H39,'Memória de Cálculo'!$B$284:$H$319,7,FALSE)))</f>
        <v>3.3608592002752583E-2</v>
      </c>
      <c r="I37" s="191">
        <f>IF(I38=0,0,IF(I39=0,VLOOKUP(I38,'Memória de Cálculo'!$B$284:$H$319,7,FALSE),VLOOKUP(I38,'Memória de Cálculo'!$B$284:$H$319,7,FALSE)+VLOOKUP(I39,'Memória de Cálculo'!$B$284:$H$319,7,FALSE)))</f>
        <v>1.7793506844601733E-2</v>
      </c>
      <c r="J37" s="191">
        <f>IF(J38=0,0,IF(J39=0,VLOOKUP(J38,'Memória de Cálculo'!$B$284:$H$319,7,FALSE),VLOOKUP(J38,'Memória de Cálculo'!$B$284:$H$319,7,FALSE)+VLOOKUP(J39,'Memória de Cálculo'!$B$284:$H$319,7,FALSE)))</f>
        <v>2.5756346924230136E-2</v>
      </c>
      <c r="K37" s="191">
        <f>IF(K38=0,0,IF(K39=0,VLOOKUP(K38,'Memória de Cálculo'!$B$284:$H$319,7,FALSE),VLOOKUP(K38,'Memória de Cálculo'!$B$284:$H$319,7,FALSE)+VLOOKUP(K39,'Memória de Cálculo'!$B$284:$H$319,7,FALSE)))</f>
        <v>2.8631816952984834E-2</v>
      </c>
      <c r="L37" s="191">
        <f>IF(L38=0,0,IF(L39=0,VLOOKUP(L38,'Memória de Cálculo'!$B$284:$H$319,7,FALSE),VLOOKUP(L38,'Memória de Cálculo'!$B$284:$H$319,7,FALSE)+VLOOKUP(L39,'Memória de Cálculo'!$B$284:$H$319,7,FALSE)))</f>
        <v>2.0668976873356434E-2</v>
      </c>
      <c r="M37" s="191">
        <f>IF(M38=0,0,IF(M39=0,VLOOKUP(M38,'Memória de Cálculo'!$B$284:$H$319,7,FALSE),VLOOKUP(M38,'Memória de Cálculo'!$B$284:$H$319,7,FALSE)+VLOOKUP(M39,'Memória de Cálculo'!$B$284:$H$319,7,FALSE)))</f>
        <v>3.7086190370861902E-2</v>
      </c>
      <c r="N37" s="191">
        <f>IF(N38=0,0,IF(N39=0,VLOOKUP(N38,'Memória de Cálculo'!$B$284:$H$319,7,FALSE),VLOOKUP(N38,'Memória de Cálculo'!$B$284:$H$319,7,FALSE)+VLOOKUP(N39,'Memória de Cálculo'!$B$284:$H$319,7,FALSE)))</f>
        <v>1.6417213497505467E-2</v>
      </c>
      <c r="O37" s="191">
        <f>IF(O38=0,0,IF(O39=0,VLOOKUP(O38,'Memória de Cálculo'!$B$284:$H$319,7,FALSE),VLOOKUP(O38,'Memória de Cálculo'!$B$284:$H$319,7,FALSE)+VLOOKUP(O39,'Memória de Cálculo'!$B$284:$H$319,7,FALSE)))</f>
        <v>1.6417213497505467E-2</v>
      </c>
      <c r="P37" s="191">
        <f>IF(P38=0,0,IF(P39=0,VLOOKUP(P38,'Memória de Cálculo'!$B$284:$H$319,7,FALSE),VLOOKUP(P38,'Memória de Cálculo'!$B$284:$H$319,7,FALSE)+VLOOKUP(P39,'Memória de Cálculo'!$B$284:$H$319,7,FALSE)))</f>
        <v>2.9541153628744873E-2</v>
      </c>
      <c r="Q37" s="191">
        <f>IF(Q38=0,0,IF(Q39=0,VLOOKUP(Q38,'Memória de Cálculo'!$B$284:$H$319,7,FALSE),VLOOKUP(Q38,'Memória de Cálculo'!$B$284:$H$319,7,FALSE)+VLOOKUP(Q39,'Memória de Cálculo'!$B$284:$H$319,7,FALSE)))</f>
        <v>5.2176263855095981E-2</v>
      </c>
      <c r="R37" s="191">
        <f>IF(R38=0,0,IF(R39=0,VLOOKUP(R38,'Memória de Cálculo'!$B$284:$H$319,7,FALSE),VLOOKUP(R38,'Memória de Cálculo'!$B$284:$H$319,7,FALSE)+VLOOKUP(R39,'Memória de Cálculo'!$B$284:$H$319,7,FALSE)))</f>
        <v>5.2176263855095981E-2</v>
      </c>
      <c r="S37" s="191">
        <f>IF(S38=0,0,IF(S39=0,VLOOKUP(S38,'Memória de Cálculo'!$B$284:$H$319,7,FALSE),VLOOKUP(S38,'Memória de Cálculo'!$B$284:$H$319,7,FALSE)+VLOOKUP(S39,'Memória de Cálculo'!$B$284:$H$319,7,FALSE)))</f>
        <v>3.2809850328098508E-2</v>
      </c>
      <c r="T37" s="191">
        <f>IF(T38=0,0,IF(T39=0,VLOOKUP(T38,'Memória de Cálculo'!$B$284:$H$319,7,FALSE),VLOOKUP(T38,'Memória de Cálculo'!$B$284:$H$319,7,FALSE)+VLOOKUP(T39,'Memória de Cálculo'!$B$284:$H$319,7,FALSE)))</f>
        <v>1.0543390105433901E-2</v>
      </c>
      <c r="U37" s="191">
        <f>IF(U38=0,0,IF(U39=0,VLOOKUP(U38,'Memória de Cálculo'!$B$284:$H$319,7,FALSE),VLOOKUP(U38,'Memória de Cálculo'!$B$284:$H$319,7,FALSE)+VLOOKUP(U39,'Memória de Cálculo'!$B$284:$H$319,7,FALSE)))</f>
        <v>3.772518371058517E-2</v>
      </c>
      <c r="V37" s="191">
        <f>IF(V38=0,0,IF(V39=0,VLOOKUP(V38,'Memória de Cálculo'!$B$284:$H$319,7,FALSE),VLOOKUP(V38,'Memória de Cálculo'!$B$284:$H$319,7,FALSE)+VLOOKUP(V39,'Memória de Cálculo'!$B$284:$H$319,7,FALSE)))</f>
        <v>3.772518371058517E-2</v>
      </c>
      <c r="W37" s="191">
        <f>IF(W38=0,0,IF(W39=0,VLOOKUP(W38,'Memória de Cálculo'!$B$284:$H$319,7,FALSE),VLOOKUP(W38,'Memória de Cálculo'!$B$284:$H$319,7,FALSE)+VLOOKUP(W39,'Memória de Cálculo'!$B$284:$H$319,7,FALSE)))</f>
        <v>3.772518371058517E-2</v>
      </c>
      <c r="X37" s="191">
        <f>IF(X38=0,0,IF(X39=0,VLOOKUP(X38,'Memória de Cálculo'!$B$284:$H$319,7,FALSE),VLOOKUP(X38,'Memória de Cálculo'!$B$284:$H$319,7,FALSE)+VLOOKUP(X39,'Memória de Cálculo'!$B$284:$H$319,7,FALSE)))</f>
        <v>2.989751529897515E-2</v>
      </c>
      <c r="Y37" s="191">
        <f>IF(Y38=0,0,IF(Y39=0,VLOOKUP(Y38,'Memória de Cálculo'!$B$284:$H$319,7,FALSE),VLOOKUP(Y38,'Memória de Cálculo'!$B$284:$H$319,7,FALSE)+VLOOKUP(Y39,'Memória de Cálculo'!$B$284:$H$319,7,FALSE)))</f>
        <v>2.989751529897515E-2</v>
      </c>
      <c r="Z37" s="191">
        <f>IF(Z38=0,0,IF(Z39=0,VLOOKUP(Z38,'Memória de Cálculo'!$B$284:$H$319,7,FALSE),VLOOKUP(Z38,'Memória de Cálculo'!$B$284:$H$319,7,FALSE)+VLOOKUP(Z39,'Memória de Cálculo'!$B$284:$H$319,7,FALSE)))</f>
        <v>3.19250903192509E-2</v>
      </c>
      <c r="AA37" s="191">
        <f>IF(AA38=0,0,IF(AA39=0,VLOOKUP(AA38,'Memória de Cálculo'!$B$284:$H$319,7,FALSE),VLOOKUP(AA38,'Memória de Cálculo'!$B$284:$H$319,7,FALSE)+VLOOKUP(AA39,'Memória de Cálculo'!$B$284:$H$319,7,FALSE)))</f>
        <v>1.2681560126815601E-2</v>
      </c>
      <c r="AB37" s="191">
        <f>IF(AB38=0,0,IF(AB39=0,VLOOKUP(AB38,'Memória de Cálculo'!$B$284:$H$319,7,FALSE),VLOOKUP(AB38,'Memória de Cálculo'!$B$284:$H$319,7,FALSE)+VLOOKUP(AB39,'Memória de Cálculo'!$B$284:$H$319,7,FALSE)))</f>
        <v>4.8661800486618006E-3</v>
      </c>
      <c r="AC37" s="191">
        <f>IF(AC38=0,0,IF(AC39=0,VLOOKUP(AC38,'Memória de Cálculo'!$B$284:$H$319,7,FALSE),VLOOKUP(AC38,'Memória de Cálculo'!$B$284:$H$319,7,FALSE)+VLOOKUP(AC39,'Memória de Cálculo'!$B$284:$H$319,7,FALSE)))</f>
        <v>1.028533510285335E-2</v>
      </c>
      <c r="AD37" s="191">
        <f>IF(AD38=0,0,IF(AD39=0,VLOOKUP(AD38,'Memória de Cálculo'!$B$284:$H$319,7,FALSE),VLOOKUP(AD38,'Memória de Cálculo'!$B$284:$H$319,7,FALSE)+VLOOKUP(AD39,'Memória de Cálculo'!$B$284:$H$319,7,FALSE)))</f>
        <v>1.028533510285335E-2</v>
      </c>
      <c r="AE37" s="191">
        <f>IF(AE38=0,0,IF(AE39=0,VLOOKUP(AE38,'Memória de Cálculo'!$B$284:$H$319,7,FALSE),VLOOKUP(AE38,'Memória de Cálculo'!$B$284:$H$319,7,FALSE)+VLOOKUP(AE39,'Memória de Cálculo'!$B$284:$H$319,7,FALSE)))</f>
        <v>2.1086780210867802E-2</v>
      </c>
      <c r="AF37" s="191">
        <f>IF(AF38=0,0,IF(AF39=0,VLOOKUP(AF38,'Memória de Cálculo'!$B$284:$H$319,7,FALSE),VLOOKUP(AF38,'Memória de Cálculo'!$B$284:$H$319,7,FALSE)+VLOOKUP(AF39,'Memória de Cálculo'!$B$284:$H$319,7,FALSE)))</f>
        <v>1.1133230111332302E-2</v>
      </c>
      <c r="AG37" s="191">
        <f>IF(AG38=0,0,IF(AG39=0,VLOOKUP(AG38,'Memória de Cálculo'!$B$284:$H$319,7,FALSE),VLOOKUP(AG38,'Memória de Cálculo'!$B$284:$H$319,7,FALSE)+VLOOKUP(AG39,'Memória de Cálculo'!$B$284:$H$319,7,FALSE)))</f>
        <v>0</v>
      </c>
      <c r="AH37" s="191">
        <f>IF(AH38=0,0,IF(AH39=0,VLOOKUP(AH38,'Memória de Cálculo'!$B$284:$H$319,7,FALSE),VLOOKUP(AH38,'Memória de Cálculo'!$B$284:$H$319,7,FALSE)+VLOOKUP(AH39,'Memória de Cálculo'!$B$284:$H$319,7,FALSE)))</f>
        <v>4.4238000442380006E-4</v>
      </c>
      <c r="AI37" s="191">
        <f>IF(AI38=0,0,IF(AI39=0,VLOOKUP(AI38,'Memória de Cálculo'!$B$284:$H$319,7,FALSE),VLOOKUP(AI38,'Memória de Cálculo'!$B$284:$H$319,7,FALSE)+VLOOKUP(AI39,'Memória de Cálculo'!$B$284:$H$319,7,FALSE)))</f>
        <v>9.3637100936371006E-3</v>
      </c>
      <c r="AJ37" s="191">
        <f>IF(AJ38=0,0,IF(AJ39=0,VLOOKUP(AJ38,'Memória de Cálculo'!$B$284:$H$319,7,FALSE),VLOOKUP(AJ38,'Memória de Cálculo'!$B$284:$H$319,7,FALSE)+VLOOKUP(AJ39,'Memória de Cálculo'!$B$284:$H$319,7,FALSE)))</f>
        <v>9.3637100936371006E-3</v>
      </c>
      <c r="AK37" s="191">
        <f>IF(AK38=0,0,IF(AK39=0,VLOOKUP(AK38,'Memória de Cálculo'!$B$284:$H$319,7,FALSE),VLOOKUP(AK38,'Memória de Cálculo'!$B$284:$H$319,7,FALSE)+VLOOKUP(AK39,'Memória de Cálculo'!$B$284:$H$319,7,FALSE)))</f>
        <v>0</v>
      </c>
      <c r="AL37" s="191">
        <f>IF(AL38=0,0,IF(AL39=0,VLOOKUP(AL38,'Memória de Cálculo'!$B$284:$H$319,7,FALSE),VLOOKUP(AL38,'Memória de Cálculo'!$B$284:$H$319,7,FALSE)+VLOOKUP(AL39,'Memória de Cálculo'!$B$284:$H$319,7,FALSE)))</f>
        <v>8.7738700877387013E-3</v>
      </c>
      <c r="AM37" s="191">
        <f>IF(AM38=0,0,IF(AM39=0,VLOOKUP(AM38,'Memória de Cálculo'!$B$284:$H$319,7,FALSE),VLOOKUP(AM38,'Memória de Cálculo'!$B$284:$H$319,7,FALSE)+VLOOKUP(AM39,'Memória de Cálculo'!$B$284:$H$319,7,FALSE)))</f>
        <v>8.7738700877387013E-3</v>
      </c>
      <c r="AN37" s="191">
        <f>IF(AN38=0,0,IF(AN39=0,VLOOKUP(AN38,'Memória de Cálculo'!$B$284:$H$319,7,FALSE),VLOOKUP(AN38,'Memória de Cálculo'!$B$284:$H$319,7,FALSE)+VLOOKUP(AN39,'Memória de Cálculo'!$B$284:$H$319,7,FALSE)))</f>
        <v>9.0319250903192518E-3</v>
      </c>
      <c r="AO37" s="191">
        <f>IF(AO38=0,0,IF(AO39=0,VLOOKUP(AO38,'Memória de Cálculo'!$B$284:$H$319,7,FALSE),VLOOKUP(AO38,'Memória de Cálculo'!$B$284:$H$319,7,FALSE)+VLOOKUP(AO39,'Memória de Cálculo'!$B$284:$H$319,7,FALSE)))</f>
        <v>9.0319250903192518E-3</v>
      </c>
      <c r="AP37" s="191">
        <f>IF(AP38=0,0,IF(AP39=0,VLOOKUP(AP38,'Memória de Cálculo'!$B$284:$H$319,7,FALSE),VLOOKUP(AP38,'Memória de Cálculo'!$B$284:$H$319,7,FALSE)+VLOOKUP(AP39,'Memória de Cálculo'!$B$284:$H$319,7,FALSE)))</f>
        <v>1.3013345130133452E-2</v>
      </c>
      <c r="AQ37" s="191">
        <f>IF(AQ38=0,0,IF(AQ39=0,VLOOKUP(AQ38,'Memória de Cálculo'!$B$284:$H$319,7,FALSE),VLOOKUP(AQ38,'Memória de Cálculo'!$B$284:$H$319,7,FALSE)+VLOOKUP(AQ39,'Memória de Cálculo'!$B$284:$H$319,7,FALSE)))</f>
        <v>1.3013345130133452E-2</v>
      </c>
      <c r="AR37" s="191">
        <f>IF(AR38=0,0,IF(AR39=0,VLOOKUP(AR38,'Memória de Cálculo'!$B$284:$H$319,7,FALSE),VLOOKUP(AR38,'Memória de Cálculo'!$B$284:$H$319,7,FALSE)+VLOOKUP(AR39,'Memória de Cálculo'!$B$284:$H$319,7,FALSE)))</f>
        <v>9.7323600973236012E-3</v>
      </c>
      <c r="AS37" s="191">
        <f>IF(AS38=0,0,IF(AS39=0,VLOOKUP(AS38,'Memória de Cálculo'!$B$284:$H$319,7,FALSE),VLOOKUP(AS38,'Memória de Cálculo'!$B$284:$H$319,7,FALSE)+VLOOKUP(AS39,'Memória de Cálculo'!$B$284:$H$319,7,FALSE)))</f>
        <v>1.6662980166629801E-2</v>
      </c>
      <c r="AT37" s="191">
        <f>IF(AT38=0,0,IF(AT39=0,VLOOKUP(AT38,'Memória de Cálculo'!$B$284:$H$319,7,FALSE),VLOOKUP(AT38,'Memória de Cálculo'!$B$284:$H$319,7,FALSE)+VLOOKUP(AT39,'Memória de Cálculo'!$B$284:$H$319,7,FALSE)))</f>
        <v>1.6662980166629801E-2</v>
      </c>
      <c r="AU37" s="191">
        <f>IF(AU38=0,0,IF(AU39=0,VLOOKUP(AU38,'Memória de Cálculo'!$B$284:$H$319,7,FALSE),VLOOKUP(AU38,'Memória de Cálculo'!$B$284:$H$319,7,FALSE)+VLOOKUP(AU39,'Memória de Cálculo'!$B$284:$H$319,7,FALSE)))</f>
        <v>0</v>
      </c>
      <c r="AV37" s="191">
        <f>IF(AV38=0,0,IF(AV39=0,VLOOKUP(AV38,'Memória de Cálculo'!$B$284:$H$319,7,FALSE),VLOOKUP(AV38,'Memória de Cálculo'!$B$284:$H$319,7,FALSE)+VLOOKUP(AV39,'Memória de Cálculo'!$B$284:$H$319,7,FALSE)))</f>
        <v>0</v>
      </c>
      <c r="AW37" s="191">
        <f>IF(AW38=0,0,IF(AW39=0,VLOOKUP(AW38,'Memória de Cálculo'!$B$284:$H$319,7,FALSE),VLOOKUP(AW38,'Memória de Cálculo'!$B$284:$H$319,7,FALSE)+VLOOKUP(AW39,'Memória de Cálculo'!$B$284:$H$319,7,FALSE)))</f>
        <v>0</v>
      </c>
      <c r="AX37" s="191">
        <f>IF(AX38=0,0,IF(AX39=0,VLOOKUP(AX38,'Memória de Cálculo'!$B$284:$H$319,7,FALSE),VLOOKUP(AX38,'Memória de Cálculo'!$B$284:$H$319,7,FALSE)+VLOOKUP(AX39,'Memória de Cálculo'!$B$284:$H$319,7,FALSE)))</f>
        <v>2.0398633537319671E-2</v>
      </c>
      <c r="AY37" s="191">
        <f>IF(AY38=0,0,IF(AY39=0,VLOOKUP(AY38,'Memória de Cálculo'!$B$284:$H$319,7,FALSE),VLOOKUP(AY38,'Memória de Cálculo'!$B$284:$H$319,7,FALSE)+VLOOKUP(AY39,'Memória de Cálculo'!$B$284:$H$319,7,FALSE)))</f>
        <v>2.0398633537319671E-2</v>
      </c>
      <c r="AZ37" s="191">
        <f>IF(AZ38=0,0,IF(AZ39=0,VLOOKUP(AZ38,'Memória de Cálculo'!$B$284:$H$319,7,FALSE),VLOOKUP(AZ38,'Memória de Cálculo'!$B$284:$H$319,7,FALSE)+VLOOKUP(AZ39,'Memória de Cálculo'!$B$284:$H$319,7,FALSE)))</f>
        <v>2.0398633537319671E-2</v>
      </c>
      <c r="BA37" s="191">
        <f>IF(BA38=0,0,IF(BA39=0,VLOOKUP(BA38,'Memória de Cálculo'!$B$284:$H$319,7,FALSE),VLOOKUP(BA38,'Memória de Cálculo'!$B$284:$H$319,7,FALSE)+VLOOKUP(BA39,'Memória de Cálculo'!$B$284:$H$319,7,FALSE)))</f>
        <v>1.7719776843864436E-2</v>
      </c>
      <c r="BB37" s="191">
        <f>IF(BB38=0,0,IF(BB39=0,VLOOKUP(BB38,'Memória de Cálculo'!$B$284:$H$319,7,FALSE),VLOOKUP(BB38,'Memória de Cálculo'!$B$284:$H$319,7,FALSE)+VLOOKUP(BB39,'Memória de Cálculo'!$B$284:$H$319,7,FALSE)))</f>
        <v>1.7719776843864436E-2</v>
      </c>
      <c r="BC37" s="191">
        <f>IF(BC38=0,0,IF(BC39=0,VLOOKUP(BC38,'Memória de Cálculo'!$B$284:$H$319,7,FALSE),VLOOKUP(BC38,'Memória de Cálculo'!$B$284:$H$319,7,FALSE)+VLOOKUP(BC39,'Memória de Cálculo'!$B$284:$H$319,7,FALSE)))</f>
        <v>3.6422620364226208E-2</v>
      </c>
      <c r="BD37" s="191">
        <f>IF(BD38=0,0,IF(BD39=0,VLOOKUP(BD38,'Memória de Cálculo'!$B$284:$H$319,7,FALSE),VLOOKUP(BD38,'Memória de Cálculo'!$B$284:$H$319,7,FALSE)+VLOOKUP(BD39,'Memória de Cálculo'!$B$284:$H$319,7,FALSE)))</f>
        <v>1.8702843520361768E-2</v>
      </c>
      <c r="BE37" s="191">
        <f>IF(BE38=0,0,IF(BE39=0,VLOOKUP(BE38,'Memória de Cálculo'!$B$284:$H$319,7,FALSE),VLOOKUP(BE38,'Memória de Cálculo'!$B$284:$H$319,7,FALSE)+VLOOKUP(BE39,'Memória de Cálculo'!$B$284:$H$319,7,FALSE)))</f>
        <v>2.7992823613261567E-2</v>
      </c>
      <c r="BF37" s="191">
        <f>IF(BF38=0,0,IF(BF39=0,VLOOKUP(BF38,'Memória de Cálculo'!$B$284:$H$319,7,FALSE),VLOOKUP(BF38,'Memória de Cálculo'!$B$284:$H$319,7,FALSE)+VLOOKUP(BF39,'Memória de Cálculo'!$B$284:$H$319,7,FALSE)))</f>
        <v>9.2899800928998005E-3</v>
      </c>
      <c r="BG37" s="191">
        <f>IF(BG38=0,0,IF(BG39=0,VLOOKUP(BG38,'Memória de Cálculo'!$B$284:$H$319,7,FALSE),VLOOKUP(BG38,'Memória de Cálculo'!$B$284:$H$319,7,FALSE)+VLOOKUP(BG39,'Memória de Cálculo'!$B$284:$H$319,7,FALSE)))</f>
        <v>1.0764580107645801E-2</v>
      </c>
      <c r="BH37" s="191">
        <f>IF(BH38=0,0,IF(BH39=0,VLOOKUP(BH38,'Memória de Cálculo'!$B$284:$H$319,7,FALSE),VLOOKUP(BH38,'Memória de Cálculo'!$B$284:$H$319,7,FALSE)+VLOOKUP(BH39,'Memória de Cálculo'!$B$284:$H$319,7,FALSE)))</f>
        <v>1.1649340116493401E-2</v>
      </c>
      <c r="BI37" s="191">
        <f>IF(BI38=0,0,IF(BI39=0,VLOOKUP(BI38,'Memória de Cálculo'!$B$284:$H$319,7,FALSE),VLOOKUP(BI38,'Memória de Cálculo'!$B$284:$H$319,7,FALSE)+VLOOKUP(BI39,'Memória de Cálculo'!$B$284:$H$319,7,FALSE)))</f>
        <v>0</v>
      </c>
      <c r="BJ37" s="191">
        <f>IF(BJ38=0,0,IF(BJ39=0,VLOOKUP(BJ38,'Memória de Cálculo'!$B$284:$H$319,7,FALSE),VLOOKUP(BJ38,'Memória de Cálculo'!$B$284:$H$319,7,FALSE)+VLOOKUP(BJ39,'Memória de Cálculo'!$B$284:$H$319,7,FALSE)))</f>
        <v>0</v>
      </c>
      <c r="BK37" s="191">
        <f>IF(BK38=0,0,IF(BK39=0,VLOOKUP(BK38,'Memória de Cálculo'!$B$284:$H$319,7,FALSE),VLOOKUP(BK38,'Memória de Cálculo'!$B$284:$H$319,7,FALSE)+VLOOKUP(BK39,'Memória de Cálculo'!$B$284:$H$319,7,FALSE)))</f>
        <v>0</v>
      </c>
      <c r="BL37" s="191">
        <f>IF(BL38=0,0,IF(BL39=0,VLOOKUP(BL38,'Memória de Cálculo'!$B$284:$H$319,7,FALSE),VLOOKUP(BL38,'Memória de Cálculo'!$B$284:$H$319,7,FALSE)+VLOOKUP(BL39,'Memória de Cálculo'!$B$284:$H$319,7,FALSE)))</f>
        <v>0</v>
      </c>
      <c r="BM37" s="189"/>
    </row>
    <row r="38" spans="1:67" s="190" customFormat="1" ht="24.9" hidden="1" customHeight="1" x14ac:dyDescent="0.25">
      <c r="A38" s="381"/>
      <c r="B38" s="384"/>
      <c r="C38" s="378" t="s">
        <v>861</v>
      </c>
      <c r="D38" s="387"/>
      <c r="E38" s="348"/>
      <c r="F38" s="348"/>
      <c r="G38" s="348" t="s">
        <v>782</v>
      </c>
      <c r="H38" s="348" t="s">
        <v>779</v>
      </c>
      <c r="I38" s="348" t="s">
        <v>779</v>
      </c>
      <c r="J38" s="348" t="s">
        <v>779</v>
      </c>
      <c r="K38" s="348" t="s">
        <v>783</v>
      </c>
      <c r="L38" s="348" t="s">
        <v>783</v>
      </c>
      <c r="M38" s="348" t="s">
        <v>783</v>
      </c>
      <c r="N38" s="348" t="s">
        <v>785</v>
      </c>
      <c r="O38" s="348" t="s">
        <v>785</v>
      </c>
      <c r="P38" s="348" t="s">
        <v>808</v>
      </c>
      <c r="Q38" s="348" t="s">
        <v>808</v>
      </c>
      <c r="R38" s="348" t="s">
        <v>808</v>
      </c>
      <c r="S38" s="348" t="s">
        <v>786</v>
      </c>
      <c r="T38" s="348" t="s">
        <v>786</v>
      </c>
      <c r="U38" s="348" t="s">
        <v>788</v>
      </c>
      <c r="V38" s="348" t="s">
        <v>788</v>
      </c>
      <c r="W38" s="348" t="s">
        <v>788</v>
      </c>
      <c r="X38" s="348" t="s">
        <v>790</v>
      </c>
      <c r="Y38" s="348" t="s">
        <v>790</v>
      </c>
      <c r="Z38" s="348" t="s">
        <v>791</v>
      </c>
      <c r="AA38" s="348" t="s">
        <v>794</v>
      </c>
      <c r="AB38" s="348" t="s">
        <v>796</v>
      </c>
      <c r="AC38" s="348" t="s">
        <v>798</v>
      </c>
      <c r="AD38" s="348" t="s">
        <v>798</v>
      </c>
      <c r="AE38" s="348" t="s">
        <v>801</v>
      </c>
      <c r="AF38" s="348" t="s">
        <v>801</v>
      </c>
      <c r="AG38" s="348"/>
      <c r="AH38" s="348" t="s">
        <v>805</v>
      </c>
      <c r="AI38" s="348" t="s">
        <v>803</v>
      </c>
      <c r="AJ38" s="348" t="s">
        <v>803</v>
      </c>
      <c r="AK38" s="348"/>
      <c r="AL38" s="348" t="s">
        <v>804</v>
      </c>
      <c r="AM38" s="348" t="s">
        <v>804</v>
      </c>
      <c r="AN38" s="348" t="s">
        <v>807</v>
      </c>
      <c r="AO38" s="348" t="s">
        <v>807</v>
      </c>
      <c r="AP38" s="348" t="s">
        <v>806</v>
      </c>
      <c r="AQ38" s="348" t="s">
        <v>806</v>
      </c>
      <c r="AR38" s="348" t="s">
        <v>810</v>
      </c>
      <c r="AS38" s="348" t="s">
        <v>809</v>
      </c>
      <c r="AT38" s="348" t="s">
        <v>809</v>
      </c>
      <c r="AU38" s="348"/>
      <c r="AV38" s="348"/>
      <c r="AW38" s="348"/>
      <c r="AX38" s="348" t="s">
        <v>811</v>
      </c>
      <c r="AY38" s="348" t="s">
        <v>811</v>
      </c>
      <c r="AZ38" s="348" t="s">
        <v>811</v>
      </c>
      <c r="BA38" s="348" t="s">
        <v>812</v>
      </c>
      <c r="BB38" s="348" t="s">
        <v>812</v>
      </c>
      <c r="BC38" s="348" t="s">
        <v>814</v>
      </c>
      <c r="BD38" s="348" t="s">
        <v>814</v>
      </c>
      <c r="BE38" s="348" t="s">
        <v>814</v>
      </c>
      <c r="BF38" s="348" t="s">
        <v>813</v>
      </c>
      <c r="BG38" s="348" t="s">
        <v>815</v>
      </c>
      <c r="BH38" s="348" t="s">
        <v>816</v>
      </c>
      <c r="BI38" s="348"/>
      <c r="BJ38" s="348"/>
      <c r="BK38" s="348"/>
      <c r="BL38" s="348"/>
      <c r="BM38" s="189"/>
    </row>
    <row r="39" spans="1:67" s="190" customFormat="1" ht="24.9" hidden="1" customHeight="1" x14ac:dyDescent="0.25">
      <c r="A39" s="381"/>
      <c r="B39" s="384"/>
      <c r="C39" s="379"/>
      <c r="D39" s="387"/>
      <c r="E39" s="337"/>
      <c r="F39" s="337"/>
      <c r="G39" s="337"/>
      <c r="H39" s="337" t="s">
        <v>782</v>
      </c>
      <c r="I39" s="337"/>
      <c r="J39" s="337" t="s">
        <v>784</v>
      </c>
      <c r="K39" s="337" t="s">
        <v>784</v>
      </c>
      <c r="L39" s="337"/>
      <c r="M39" s="337" t="s">
        <v>785</v>
      </c>
      <c r="N39" s="337"/>
      <c r="O39" s="337"/>
      <c r="P39" s="337"/>
      <c r="Q39" s="337" t="s">
        <v>793</v>
      </c>
      <c r="R39" s="337" t="s">
        <v>793</v>
      </c>
      <c r="S39" s="337" t="s">
        <v>793</v>
      </c>
      <c r="T39" s="337" t="s">
        <v>787</v>
      </c>
      <c r="U39" s="337" t="s">
        <v>789</v>
      </c>
      <c r="V39" s="337" t="s">
        <v>789</v>
      </c>
      <c r="W39" s="337" t="s">
        <v>789</v>
      </c>
      <c r="X39" s="337" t="s">
        <v>791</v>
      </c>
      <c r="Y39" s="337" t="s">
        <v>791</v>
      </c>
      <c r="Z39" s="337" t="s">
        <v>792</v>
      </c>
      <c r="AA39" s="337" t="s">
        <v>795</v>
      </c>
      <c r="AB39" s="337" t="s">
        <v>797</v>
      </c>
      <c r="AC39" s="337" t="s">
        <v>799</v>
      </c>
      <c r="AD39" s="337" t="s">
        <v>800</v>
      </c>
      <c r="AE39" s="337" t="s">
        <v>802</v>
      </c>
      <c r="AF39" s="337"/>
      <c r="AG39" s="337"/>
      <c r="AH39" s="337"/>
      <c r="AI39" s="337"/>
      <c r="AJ39" s="337"/>
      <c r="AK39" s="337"/>
      <c r="AL39" s="337"/>
      <c r="AM39" s="337"/>
      <c r="AN39" s="337"/>
      <c r="AO39" s="337"/>
      <c r="AP39" s="337"/>
      <c r="AQ39" s="337"/>
      <c r="AR39" s="337"/>
      <c r="AS39" s="337"/>
      <c r="AT39" s="337"/>
      <c r="AU39" s="337"/>
      <c r="AV39" s="337"/>
      <c r="AW39" s="337"/>
      <c r="AX39" s="337"/>
      <c r="AY39" s="337"/>
      <c r="AZ39" s="337"/>
      <c r="BA39" s="337"/>
      <c r="BB39" s="337"/>
      <c r="BC39" s="337" t="s">
        <v>812</v>
      </c>
      <c r="BD39" s="337"/>
      <c r="BE39" s="337" t="s">
        <v>813</v>
      </c>
      <c r="BF39" s="337"/>
      <c r="BG39" s="337"/>
      <c r="BH39" s="337"/>
      <c r="BI39" s="337"/>
      <c r="BJ39" s="337"/>
      <c r="BK39" s="337"/>
      <c r="BL39" s="337"/>
      <c r="BM39" s="189"/>
    </row>
    <row r="40" spans="1:67" s="100" customFormat="1" ht="24.9" customHeight="1" x14ac:dyDescent="0.25">
      <c r="A40" s="382"/>
      <c r="B40" s="385"/>
      <c r="C40" s="334" t="s">
        <v>14</v>
      </c>
      <c r="D40" s="388"/>
      <c r="E40" s="343">
        <f>E37*$D$37</f>
        <v>0</v>
      </c>
      <c r="F40" s="343">
        <f t="shared" ref="F40:BJ40" si="54">F37*$D$37</f>
        <v>0</v>
      </c>
      <c r="G40" s="343">
        <f>G37*$D$37</f>
        <v>0</v>
      </c>
      <c r="H40" s="343">
        <f t="shared" si="54"/>
        <v>0</v>
      </c>
      <c r="I40" s="343">
        <f t="shared" si="54"/>
        <v>0</v>
      </c>
      <c r="J40" s="343">
        <f t="shared" si="54"/>
        <v>0</v>
      </c>
      <c r="K40" s="343">
        <f t="shared" si="54"/>
        <v>0</v>
      </c>
      <c r="L40" s="343">
        <f t="shared" si="54"/>
        <v>0</v>
      </c>
      <c r="M40" s="343">
        <f t="shared" si="54"/>
        <v>0</v>
      </c>
      <c r="N40" s="343">
        <f t="shared" si="54"/>
        <v>0</v>
      </c>
      <c r="O40" s="343">
        <f t="shared" si="54"/>
        <v>0</v>
      </c>
      <c r="P40" s="343">
        <f>P37*$D$37</f>
        <v>0</v>
      </c>
      <c r="Q40" s="343">
        <f>Q37*$D$37</f>
        <v>0</v>
      </c>
      <c r="R40" s="343">
        <f t="shared" ref="R40:AA40" si="55">R37*$D$37</f>
        <v>0</v>
      </c>
      <c r="S40" s="343">
        <f t="shared" si="55"/>
        <v>0</v>
      </c>
      <c r="T40" s="343">
        <f t="shared" si="55"/>
        <v>0</v>
      </c>
      <c r="U40" s="343">
        <f t="shared" si="55"/>
        <v>0</v>
      </c>
      <c r="V40" s="343">
        <f t="shared" si="55"/>
        <v>0</v>
      </c>
      <c r="W40" s="343">
        <f t="shared" si="55"/>
        <v>0</v>
      </c>
      <c r="X40" s="343">
        <f t="shared" si="55"/>
        <v>0</v>
      </c>
      <c r="Y40" s="343">
        <f t="shared" si="55"/>
        <v>0</v>
      </c>
      <c r="Z40" s="343">
        <f t="shared" si="55"/>
        <v>0</v>
      </c>
      <c r="AA40" s="343">
        <f t="shared" si="55"/>
        <v>0</v>
      </c>
      <c r="AB40" s="343">
        <f>AB37*$D$37</f>
        <v>0</v>
      </c>
      <c r="AC40" s="343">
        <f>AC37*$D$37</f>
        <v>0</v>
      </c>
      <c r="AD40" s="343">
        <f t="shared" ref="AD40:AM40" si="56">AD37*$D$37</f>
        <v>0</v>
      </c>
      <c r="AE40" s="343">
        <f t="shared" si="56"/>
        <v>0</v>
      </c>
      <c r="AF40" s="343">
        <f t="shared" si="56"/>
        <v>0</v>
      </c>
      <c r="AG40" s="343">
        <f t="shared" si="56"/>
        <v>0</v>
      </c>
      <c r="AH40" s="343">
        <f t="shared" si="56"/>
        <v>0</v>
      </c>
      <c r="AI40" s="343">
        <f t="shared" si="56"/>
        <v>0</v>
      </c>
      <c r="AJ40" s="343">
        <f t="shared" si="56"/>
        <v>0</v>
      </c>
      <c r="AK40" s="343">
        <f t="shared" si="56"/>
        <v>0</v>
      </c>
      <c r="AL40" s="343">
        <f t="shared" si="56"/>
        <v>0</v>
      </c>
      <c r="AM40" s="343">
        <f t="shared" si="56"/>
        <v>0</v>
      </c>
      <c r="AN40" s="343">
        <f>AN37*$D$37</f>
        <v>0</v>
      </c>
      <c r="AO40" s="343">
        <f>AO37*$D$37</f>
        <v>0</v>
      </c>
      <c r="AP40" s="343">
        <f t="shared" ref="AP40:AY40" si="57">AP37*$D$37</f>
        <v>0</v>
      </c>
      <c r="AQ40" s="343">
        <f t="shared" si="57"/>
        <v>0</v>
      </c>
      <c r="AR40" s="343">
        <f t="shared" si="57"/>
        <v>0</v>
      </c>
      <c r="AS40" s="343">
        <f t="shared" si="57"/>
        <v>0</v>
      </c>
      <c r="AT40" s="343">
        <f t="shared" si="57"/>
        <v>0</v>
      </c>
      <c r="AU40" s="343">
        <f t="shared" si="57"/>
        <v>0</v>
      </c>
      <c r="AV40" s="343">
        <f t="shared" si="57"/>
        <v>0</v>
      </c>
      <c r="AW40" s="343">
        <f t="shared" si="57"/>
        <v>0</v>
      </c>
      <c r="AX40" s="343">
        <f t="shared" si="57"/>
        <v>0</v>
      </c>
      <c r="AY40" s="343">
        <f t="shared" si="57"/>
        <v>0</v>
      </c>
      <c r="AZ40" s="343">
        <f t="shared" si="54"/>
        <v>0</v>
      </c>
      <c r="BA40" s="343">
        <f t="shared" si="54"/>
        <v>0</v>
      </c>
      <c r="BB40" s="343">
        <f t="shared" si="54"/>
        <v>0</v>
      </c>
      <c r="BC40" s="343">
        <f t="shared" si="54"/>
        <v>0</v>
      </c>
      <c r="BD40" s="343">
        <f t="shared" si="54"/>
        <v>0</v>
      </c>
      <c r="BE40" s="343">
        <f t="shared" ref="BE40:BH40" si="58">BE37*$D$37</f>
        <v>0</v>
      </c>
      <c r="BF40" s="343">
        <f t="shared" si="58"/>
        <v>0</v>
      </c>
      <c r="BG40" s="343">
        <f t="shared" si="58"/>
        <v>0</v>
      </c>
      <c r="BH40" s="343">
        <f t="shared" si="58"/>
        <v>0</v>
      </c>
      <c r="BI40" s="343">
        <f t="shared" si="54"/>
        <v>0</v>
      </c>
      <c r="BJ40" s="343">
        <f t="shared" si="54"/>
        <v>0</v>
      </c>
      <c r="BK40" s="343">
        <f t="shared" ref="BK40:BL40" si="59">BK37*$D$37</f>
        <v>0</v>
      </c>
      <c r="BL40" s="343">
        <f t="shared" si="59"/>
        <v>0</v>
      </c>
      <c r="BM40" s="344"/>
      <c r="BN40" s="100">
        <f>SUM(E40:BL40)</f>
        <v>0</v>
      </c>
      <c r="BO40" s="100">
        <f>BN40-D37</f>
        <v>0</v>
      </c>
    </row>
    <row r="41" spans="1:67" s="190" customFormat="1" ht="24.9" customHeight="1" x14ac:dyDescent="0.25">
      <c r="A41" s="380" t="s">
        <v>44</v>
      </c>
      <c r="B41" s="383" t="str">
        <f>'Planilha Orçamentária'!D15</f>
        <v>Estudo Técnico Geológico (Riscos em Geral)</v>
      </c>
      <c r="C41" s="188" t="s">
        <v>13</v>
      </c>
      <c r="D41" s="386">
        <f>'Planilha Orçamentária'!I15</f>
        <v>0</v>
      </c>
      <c r="E41" s="191">
        <f>IF(E42=0,0,IF(E43=0,VLOOKUP(E42,'Memória de Cálculo'!$B$323:$H$358,7,FALSE),VLOOKUP(E42,'Memória de Cálculo'!$B$323:$H$358,7,FALSE)+VLOOKUP(E43,'Memória de Cálculo'!$B$323:$H$358,7,FALSE)))</f>
        <v>0</v>
      </c>
      <c r="F41" s="191">
        <f>IF(F42=0,0,IF(F43=0,VLOOKUP(F42,'Memória de Cálculo'!$B$323:$H$358,7,FALSE),VLOOKUP(F42,'Memória de Cálculo'!$B$323:$H$358,7,FALSE)+VLOOKUP(F43,'Memória de Cálculo'!$B$323:$H$358,7,FALSE)))</f>
        <v>0</v>
      </c>
      <c r="G41" s="191">
        <f>IF(G42=0,0,IF(G43=0,VLOOKUP(G42,'Memória de Cálculo'!$B$323:$H$358,7,FALSE),VLOOKUP(G42,'Memória de Cálculo'!$B$323:$H$358,7,FALSE)+VLOOKUP(G43,'Memória de Cálculo'!$B$323:$H$358,7,FALSE)))</f>
        <v>1.5815085158150853E-2</v>
      </c>
      <c r="H41" s="191">
        <f>IF(H42=0,0,IF(H43=0,VLOOKUP(H42,'Memória de Cálculo'!$B$323:$H$358,7,FALSE),VLOOKUP(H42,'Memória de Cálculo'!$B$323:$H$358,7,FALSE)+VLOOKUP(H43,'Memória de Cálculo'!$B$323:$H$358,7,FALSE)))</f>
        <v>3.3608592002752583E-2</v>
      </c>
      <c r="I41" s="191">
        <f>IF(I42=0,0,IF(I43=0,VLOOKUP(I42,'Memória de Cálculo'!$B$323:$H$358,7,FALSE),VLOOKUP(I42,'Memória de Cálculo'!$B$323:$H$358,7,FALSE)+VLOOKUP(I43,'Memória de Cálculo'!$B$323:$H$358,7,FALSE)))</f>
        <v>1.7793506844601733E-2</v>
      </c>
      <c r="J41" s="191">
        <f>IF(J42=0,0,IF(J43=0,VLOOKUP(J42,'Memória de Cálculo'!$B$323:$H$358,7,FALSE),VLOOKUP(J42,'Memória de Cálculo'!$B$323:$H$358,7,FALSE)+VLOOKUP(J43,'Memória de Cálculo'!$B$323:$H$358,7,FALSE)))</f>
        <v>2.5756346924230136E-2</v>
      </c>
      <c r="K41" s="191">
        <f>IF(K42=0,0,IF(K43=0,VLOOKUP(K42,'Memória de Cálculo'!$B$323:$H$358,7,FALSE),VLOOKUP(K42,'Memória de Cálculo'!$B$323:$H$358,7,FALSE)+VLOOKUP(K43,'Memória de Cálculo'!$B$323:$H$358,7,FALSE)))</f>
        <v>2.8631816952984834E-2</v>
      </c>
      <c r="L41" s="191">
        <f>IF(L42=0,0,IF(L43=0,VLOOKUP(L42,'Memória de Cálculo'!$B$323:$H$358,7,FALSE),VLOOKUP(L42,'Memória de Cálculo'!$B$323:$H$358,7,FALSE)+VLOOKUP(L43,'Memória de Cálculo'!$B$323:$H$358,7,FALSE)))</f>
        <v>2.0668976873356434E-2</v>
      </c>
      <c r="M41" s="191">
        <f>IF(M42=0,0,IF(M43=0,VLOOKUP(M42,'Memória de Cálculo'!$B$323:$H$358,7,FALSE),VLOOKUP(M42,'Memória de Cálculo'!$B$323:$H$358,7,FALSE)+VLOOKUP(M43,'Memória de Cálculo'!$B$323:$H$358,7,FALSE)))</f>
        <v>3.7086190370861902E-2</v>
      </c>
      <c r="N41" s="191">
        <f>IF(N42=0,0,IF(N43=0,VLOOKUP(N42,'Memória de Cálculo'!$B$323:$H$358,7,FALSE),VLOOKUP(N42,'Memória de Cálculo'!$B$323:$H$358,7,FALSE)+VLOOKUP(N43,'Memória de Cálculo'!$B$323:$H$358,7,FALSE)))</f>
        <v>1.6417213497505467E-2</v>
      </c>
      <c r="O41" s="191">
        <f>IF(O42=0,0,IF(O43=0,VLOOKUP(O42,'Memória de Cálculo'!$B$323:$H$358,7,FALSE),VLOOKUP(O42,'Memória de Cálculo'!$B$323:$H$358,7,FALSE)+VLOOKUP(O43,'Memória de Cálculo'!$B$323:$H$358,7,FALSE)))</f>
        <v>1.6417213497505467E-2</v>
      </c>
      <c r="P41" s="191">
        <f>IF(P42=0,0,IF(P43=0,VLOOKUP(P42,'Memória de Cálculo'!$B$323:$H$358,7,FALSE),VLOOKUP(P42,'Memória de Cálculo'!$B$323:$H$358,7,FALSE)+VLOOKUP(P43,'Memória de Cálculo'!$B$323:$H$358,7,FALSE)))</f>
        <v>2.9541153628744873E-2</v>
      </c>
      <c r="Q41" s="191">
        <f>IF(Q42=0,0,IF(Q43=0,VLOOKUP(Q42,'Memória de Cálculo'!$B$323:$H$358,7,FALSE),VLOOKUP(Q42,'Memória de Cálculo'!$B$323:$H$358,7,FALSE)+VLOOKUP(Q43,'Memória de Cálculo'!$B$323:$H$358,7,FALSE)))</f>
        <v>5.2176263855095981E-2</v>
      </c>
      <c r="R41" s="191">
        <f>IF(R42=0,0,IF(R43=0,VLOOKUP(R42,'Memória de Cálculo'!$B$323:$H$358,7,FALSE),VLOOKUP(R42,'Memória de Cálculo'!$B$323:$H$358,7,FALSE)+VLOOKUP(R43,'Memória de Cálculo'!$B$323:$H$358,7,FALSE)))</f>
        <v>5.2176263855095981E-2</v>
      </c>
      <c r="S41" s="191">
        <f>IF(S42=0,0,IF(S43=0,VLOOKUP(S42,'Memória de Cálculo'!$B$323:$H$358,7,FALSE),VLOOKUP(S42,'Memória de Cálculo'!$B$323:$H$358,7,FALSE)+VLOOKUP(S43,'Memória de Cálculo'!$B$323:$H$358,7,FALSE)))</f>
        <v>3.2809850328098508E-2</v>
      </c>
      <c r="T41" s="191">
        <f>IF(T42=0,0,IF(T43=0,VLOOKUP(T42,'Memória de Cálculo'!$B$323:$H$358,7,FALSE),VLOOKUP(T42,'Memória de Cálculo'!$B$323:$H$358,7,FALSE)+VLOOKUP(T43,'Memória de Cálculo'!$B$323:$H$358,7,FALSE)))</f>
        <v>1.0543390105433901E-2</v>
      </c>
      <c r="U41" s="191">
        <f>IF(U42=0,0,IF(U43=0,VLOOKUP(U42,'Memória de Cálculo'!$B$323:$H$358,7,FALSE),VLOOKUP(U42,'Memória de Cálculo'!$B$323:$H$358,7,FALSE)+VLOOKUP(U43,'Memória de Cálculo'!$B$323:$H$358,7,FALSE)))</f>
        <v>3.772518371058517E-2</v>
      </c>
      <c r="V41" s="191">
        <f>IF(V42=0,0,IF(V43=0,VLOOKUP(V42,'Memória de Cálculo'!$B$323:$H$358,7,FALSE),VLOOKUP(V42,'Memória de Cálculo'!$B$323:$H$358,7,FALSE)+VLOOKUP(V43,'Memória de Cálculo'!$B$323:$H$358,7,FALSE)))</f>
        <v>3.772518371058517E-2</v>
      </c>
      <c r="W41" s="191">
        <f>IF(W42=0,0,IF(W43=0,VLOOKUP(W42,'Memória de Cálculo'!$B$323:$H$358,7,FALSE),VLOOKUP(W42,'Memória de Cálculo'!$B$323:$H$358,7,FALSE)+VLOOKUP(W43,'Memória de Cálculo'!$B$323:$H$358,7,FALSE)))</f>
        <v>3.772518371058517E-2</v>
      </c>
      <c r="X41" s="191">
        <f>IF(X42=0,0,IF(X43=0,VLOOKUP(X42,'Memória de Cálculo'!$B$323:$H$358,7,FALSE),VLOOKUP(X42,'Memória de Cálculo'!$B$323:$H$358,7,FALSE)+VLOOKUP(X43,'Memória de Cálculo'!$B$323:$H$358,7,FALSE)))</f>
        <v>2.989751529897515E-2</v>
      </c>
      <c r="Y41" s="191">
        <f>IF(Y42=0,0,IF(Y43=0,VLOOKUP(Y42,'Memória de Cálculo'!$B$323:$H$358,7,FALSE),VLOOKUP(Y42,'Memória de Cálculo'!$B$323:$H$358,7,FALSE)+VLOOKUP(Y43,'Memória de Cálculo'!$B$323:$H$358,7,FALSE)))</f>
        <v>2.989751529897515E-2</v>
      </c>
      <c r="Z41" s="191">
        <f>IF(Z42=0,0,IF(Z43=0,VLOOKUP(Z42,'Memória de Cálculo'!$B$323:$H$358,7,FALSE),VLOOKUP(Z42,'Memória de Cálculo'!$B$323:$H$358,7,FALSE)+VLOOKUP(Z43,'Memória de Cálculo'!$B$323:$H$358,7,FALSE)))</f>
        <v>3.19250903192509E-2</v>
      </c>
      <c r="AA41" s="191">
        <f>IF(AA42=0,0,IF(AA43=0,VLOOKUP(AA42,'Memória de Cálculo'!$B$323:$H$358,7,FALSE),VLOOKUP(AA42,'Memória de Cálculo'!$B$323:$H$358,7,FALSE)+VLOOKUP(AA43,'Memória de Cálculo'!$B$323:$H$358,7,FALSE)))</f>
        <v>1.2681560126815601E-2</v>
      </c>
      <c r="AB41" s="191">
        <f>IF(AB42=0,0,IF(AB43=0,VLOOKUP(AB42,'Memória de Cálculo'!$B$323:$H$358,7,FALSE),VLOOKUP(AB42,'Memória de Cálculo'!$B$323:$H$358,7,FALSE)+VLOOKUP(AB43,'Memória de Cálculo'!$B$323:$H$358,7,FALSE)))</f>
        <v>4.8661800486618006E-3</v>
      </c>
      <c r="AC41" s="191">
        <f>IF(AC42=0,0,IF(AC43=0,VLOOKUP(AC42,'Memória de Cálculo'!$B$323:$H$358,7,FALSE),VLOOKUP(AC42,'Memória de Cálculo'!$B$323:$H$358,7,FALSE)+VLOOKUP(AC43,'Memória de Cálculo'!$B$323:$H$358,7,FALSE)))</f>
        <v>1.028533510285335E-2</v>
      </c>
      <c r="AD41" s="191">
        <f>IF(AD42=0,0,IF(AD43=0,VLOOKUP(AD42,'Memória de Cálculo'!$B$323:$H$358,7,FALSE),VLOOKUP(AD42,'Memória de Cálculo'!$B$323:$H$358,7,FALSE)+VLOOKUP(AD43,'Memória de Cálculo'!$B$323:$H$358,7,FALSE)))</f>
        <v>1.028533510285335E-2</v>
      </c>
      <c r="AE41" s="191">
        <f>IF(AE42=0,0,IF(AE43=0,VLOOKUP(AE42,'Memória de Cálculo'!$B$323:$H$358,7,FALSE),VLOOKUP(AE42,'Memória de Cálculo'!$B$323:$H$358,7,FALSE)+VLOOKUP(AE43,'Memória de Cálculo'!$B$323:$H$358,7,FALSE)))</f>
        <v>2.1086780210867802E-2</v>
      </c>
      <c r="AF41" s="191">
        <f>IF(AF42=0,0,IF(AF43=0,VLOOKUP(AF42,'Memória de Cálculo'!$B$323:$H$358,7,FALSE),VLOOKUP(AF42,'Memória de Cálculo'!$B$323:$H$358,7,FALSE)+VLOOKUP(AF43,'Memória de Cálculo'!$B$323:$H$358,7,FALSE)))</f>
        <v>1.1133230111332302E-2</v>
      </c>
      <c r="AG41" s="191">
        <f>IF(AG42=0,0,IF(AG43=0,VLOOKUP(AG42,'Memória de Cálculo'!$B$323:$H$358,7,FALSE),VLOOKUP(AG42,'Memória de Cálculo'!$B$323:$H$358,7,FALSE)+VLOOKUP(AG43,'Memória de Cálculo'!$B$323:$H$358,7,FALSE)))</f>
        <v>0</v>
      </c>
      <c r="AH41" s="191">
        <f>IF(AH42=0,0,IF(AH43=0,VLOOKUP(AH42,'Memória de Cálculo'!$B$323:$H$358,7,FALSE),VLOOKUP(AH42,'Memória de Cálculo'!$B$323:$H$358,7,FALSE)+VLOOKUP(AH43,'Memória de Cálculo'!$B$323:$H$358,7,FALSE)))</f>
        <v>4.4238000442380006E-4</v>
      </c>
      <c r="AI41" s="191">
        <f>IF(AI42=0,0,IF(AI43=0,VLOOKUP(AI42,'Memória de Cálculo'!$B$323:$H$358,7,FALSE),VLOOKUP(AI42,'Memória de Cálculo'!$B$323:$H$358,7,FALSE)+VLOOKUP(AI43,'Memória de Cálculo'!$B$323:$H$358,7,FALSE)))</f>
        <v>9.3637100936371006E-3</v>
      </c>
      <c r="AJ41" s="191">
        <f>IF(AJ42=0,0,IF(AJ43=0,VLOOKUP(AJ42,'Memória de Cálculo'!$B$323:$H$358,7,FALSE),VLOOKUP(AJ42,'Memória de Cálculo'!$B$323:$H$358,7,FALSE)+VLOOKUP(AJ43,'Memória de Cálculo'!$B$323:$H$358,7,FALSE)))</f>
        <v>9.3637100936371006E-3</v>
      </c>
      <c r="AK41" s="191">
        <f>IF(AK42=0,0,IF(AK43=0,VLOOKUP(AK42,'Memória de Cálculo'!$B$323:$H$358,7,FALSE),VLOOKUP(AK42,'Memória de Cálculo'!$B$323:$H$358,7,FALSE)+VLOOKUP(AK43,'Memória de Cálculo'!$B$323:$H$358,7,FALSE)))</f>
        <v>0</v>
      </c>
      <c r="AL41" s="191">
        <f>IF(AL42=0,0,IF(AL43=0,VLOOKUP(AL42,'Memória de Cálculo'!$B$323:$H$358,7,FALSE),VLOOKUP(AL42,'Memória de Cálculo'!$B$323:$H$358,7,FALSE)+VLOOKUP(AL43,'Memória de Cálculo'!$B$323:$H$358,7,FALSE)))</f>
        <v>8.7738700877387013E-3</v>
      </c>
      <c r="AM41" s="191">
        <f>IF(AM42=0,0,IF(AM43=0,VLOOKUP(AM42,'Memória de Cálculo'!$B$323:$H$358,7,FALSE),VLOOKUP(AM42,'Memória de Cálculo'!$B$323:$H$358,7,FALSE)+VLOOKUP(AM43,'Memória de Cálculo'!$B$323:$H$358,7,FALSE)))</f>
        <v>8.7738700877387013E-3</v>
      </c>
      <c r="AN41" s="191">
        <f>IF(AN42=0,0,IF(AN43=0,VLOOKUP(AN42,'Memória de Cálculo'!$B$323:$H$358,7,FALSE),VLOOKUP(AN42,'Memória de Cálculo'!$B$323:$H$358,7,FALSE)+VLOOKUP(AN43,'Memória de Cálculo'!$B$323:$H$358,7,FALSE)))</f>
        <v>9.0319250903192518E-3</v>
      </c>
      <c r="AO41" s="191">
        <f>IF(AO42=0,0,IF(AO43=0,VLOOKUP(AO42,'Memória de Cálculo'!$B$323:$H$358,7,FALSE),VLOOKUP(AO42,'Memória de Cálculo'!$B$323:$H$358,7,FALSE)+VLOOKUP(AO43,'Memória de Cálculo'!$B$323:$H$358,7,FALSE)))</f>
        <v>9.0319250903192518E-3</v>
      </c>
      <c r="AP41" s="191">
        <f>IF(AP42=0,0,IF(AP43=0,VLOOKUP(AP42,'Memória de Cálculo'!$B$323:$H$358,7,FALSE),VLOOKUP(AP42,'Memória de Cálculo'!$B$323:$H$358,7,FALSE)+VLOOKUP(AP43,'Memória de Cálculo'!$B$323:$H$358,7,FALSE)))</f>
        <v>1.3013345130133452E-2</v>
      </c>
      <c r="AQ41" s="191">
        <f>IF(AQ42=0,0,IF(AQ43=0,VLOOKUP(AQ42,'Memória de Cálculo'!$B$323:$H$358,7,FALSE),VLOOKUP(AQ42,'Memória de Cálculo'!$B$323:$H$358,7,FALSE)+VLOOKUP(AQ43,'Memória de Cálculo'!$B$323:$H$358,7,FALSE)))</f>
        <v>1.3013345130133452E-2</v>
      </c>
      <c r="AR41" s="191">
        <f>IF(AR42=0,0,IF(AR43=0,VLOOKUP(AR42,'Memória de Cálculo'!$B$323:$H$358,7,FALSE),VLOOKUP(AR42,'Memória de Cálculo'!$B$323:$H$358,7,FALSE)+VLOOKUP(AR43,'Memória de Cálculo'!$B$323:$H$358,7,FALSE)))</f>
        <v>9.7323600973236012E-3</v>
      </c>
      <c r="AS41" s="191">
        <f>IF(AS42=0,0,IF(AS43=0,VLOOKUP(AS42,'Memória de Cálculo'!$B$323:$H$358,7,FALSE),VLOOKUP(AS42,'Memória de Cálculo'!$B$323:$H$358,7,FALSE)+VLOOKUP(AS43,'Memória de Cálculo'!$B$323:$H$358,7,FALSE)))</f>
        <v>1.6662980166629801E-2</v>
      </c>
      <c r="AT41" s="191">
        <f>IF(AT42=0,0,IF(AT43=0,VLOOKUP(AT42,'Memória de Cálculo'!$B$323:$H$358,7,FALSE),VLOOKUP(AT42,'Memória de Cálculo'!$B$323:$H$358,7,FALSE)+VLOOKUP(AT43,'Memória de Cálculo'!$B$323:$H$358,7,FALSE)))</f>
        <v>1.6662980166629801E-2</v>
      </c>
      <c r="AU41" s="191">
        <f>IF(AU42=0,0,IF(AU43=0,VLOOKUP(AU42,'Memória de Cálculo'!$B$323:$H$358,7,FALSE),VLOOKUP(AU42,'Memória de Cálculo'!$B$323:$H$358,7,FALSE)+VLOOKUP(AU43,'Memória de Cálculo'!$B$323:$H$358,7,FALSE)))</f>
        <v>0</v>
      </c>
      <c r="AV41" s="191">
        <f>IF(AV42=0,0,IF(AV43=0,VLOOKUP(AV42,'Memória de Cálculo'!$B$323:$H$358,7,FALSE),VLOOKUP(AV42,'Memória de Cálculo'!$B$323:$H$358,7,FALSE)+VLOOKUP(AV43,'Memória de Cálculo'!$B$323:$H$358,7,FALSE)))</f>
        <v>0</v>
      </c>
      <c r="AW41" s="191">
        <f>IF(AW42=0,0,IF(AW43=0,VLOOKUP(AW42,'Memória de Cálculo'!$B$323:$H$358,7,FALSE),VLOOKUP(AW42,'Memória de Cálculo'!$B$323:$H$358,7,FALSE)+VLOOKUP(AW43,'Memória de Cálculo'!$B$323:$H$358,7,FALSE)))</f>
        <v>0</v>
      </c>
      <c r="AX41" s="191">
        <f>IF(AX42=0,0,IF(AX43=0,VLOOKUP(AX42,'Memória de Cálculo'!$B$323:$H$358,7,FALSE),VLOOKUP(AX42,'Memória de Cálculo'!$B$323:$H$358,7,FALSE)+VLOOKUP(AX43,'Memória de Cálculo'!$B$323:$H$358,7,FALSE)))</f>
        <v>2.0398633537319671E-2</v>
      </c>
      <c r="AY41" s="191">
        <f>IF(AY42=0,0,IF(AY43=0,VLOOKUP(AY42,'Memória de Cálculo'!$B$323:$H$358,7,FALSE),VLOOKUP(AY42,'Memória de Cálculo'!$B$323:$H$358,7,FALSE)+VLOOKUP(AY43,'Memória de Cálculo'!$B$323:$H$358,7,FALSE)))</f>
        <v>2.0398633537319671E-2</v>
      </c>
      <c r="AZ41" s="191">
        <f>IF(AZ42=0,0,IF(AZ43=0,VLOOKUP(AZ42,'Memória de Cálculo'!$B$323:$H$358,7,FALSE),VLOOKUP(AZ42,'Memória de Cálculo'!$B$323:$H$358,7,FALSE)+VLOOKUP(AZ43,'Memória de Cálculo'!$B$323:$H$358,7,FALSE)))</f>
        <v>2.0398633537319671E-2</v>
      </c>
      <c r="BA41" s="191">
        <f>IF(BA42=0,0,IF(BA43=0,VLOOKUP(BA42,'Memória de Cálculo'!$B$323:$H$358,7,FALSE),VLOOKUP(BA42,'Memória de Cálculo'!$B$323:$H$358,7,FALSE)+VLOOKUP(BA43,'Memória de Cálculo'!$B$323:$H$358,7,FALSE)))</f>
        <v>1.7719776843864436E-2</v>
      </c>
      <c r="BB41" s="191">
        <f>IF(BB42=0,0,IF(BB43=0,VLOOKUP(BB42,'Memória de Cálculo'!$B$323:$H$358,7,FALSE),VLOOKUP(BB42,'Memória de Cálculo'!$B$323:$H$358,7,FALSE)+VLOOKUP(BB43,'Memória de Cálculo'!$B$323:$H$358,7,FALSE)))</f>
        <v>1.7719776843864436E-2</v>
      </c>
      <c r="BC41" s="191">
        <f>IF(BC42=0,0,IF(BC43=0,VLOOKUP(BC42,'Memória de Cálculo'!$B$323:$H$358,7,FALSE),VLOOKUP(BC42,'Memória de Cálculo'!$B$323:$H$358,7,FALSE)+VLOOKUP(BC43,'Memória de Cálculo'!$B$323:$H$358,7,FALSE)))</f>
        <v>3.6422620364226208E-2</v>
      </c>
      <c r="BD41" s="191">
        <f>IF(BD42=0,0,IF(BD43=0,VLOOKUP(BD42,'Memória de Cálculo'!$B$323:$H$358,7,FALSE),VLOOKUP(BD42,'Memória de Cálculo'!$B$323:$H$358,7,FALSE)+VLOOKUP(BD43,'Memória de Cálculo'!$B$323:$H$358,7,FALSE)))</f>
        <v>1.8702843520361768E-2</v>
      </c>
      <c r="BE41" s="191">
        <f>IF(BE42=0,0,IF(BE43=0,VLOOKUP(BE42,'Memória de Cálculo'!$B$323:$H$358,7,FALSE),VLOOKUP(BE42,'Memória de Cálculo'!$B$323:$H$358,7,FALSE)+VLOOKUP(BE43,'Memória de Cálculo'!$B$323:$H$358,7,FALSE)))</f>
        <v>2.7992823613261567E-2</v>
      </c>
      <c r="BF41" s="191">
        <f>IF(BF42=0,0,IF(BF43=0,VLOOKUP(BF42,'Memória de Cálculo'!$B$323:$H$358,7,FALSE),VLOOKUP(BF42,'Memória de Cálculo'!$B$323:$H$358,7,FALSE)+VLOOKUP(BF43,'Memória de Cálculo'!$B$323:$H$358,7,FALSE)))</f>
        <v>9.2899800928998005E-3</v>
      </c>
      <c r="BG41" s="191">
        <f>IF(BG42=0,0,IF(BG43=0,VLOOKUP(BG42,'Memória de Cálculo'!$B$323:$H$358,7,FALSE),VLOOKUP(BG42,'Memória de Cálculo'!$B$323:$H$358,7,FALSE)+VLOOKUP(BG43,'Memória de Cálculo'!$B$323:$H$358,7,FALSE)))</f>
        <v>1.0764580107645801E-2</v>
      </c>
      <c r="BH41" s="191">
        <f>IF(BH42=0,0,IF(BH43=0,VLOOKUP(BH42,'Memória de Cálculo'!$B$323:$H$358,7,FALSE),VLOOKUP(BH42,'Memória de Cálculo'!$B$323:$H$358,7,FALSE)+VLOOKUP(BH43,'Memória de Cálculo'!$B$323:$H$358,7,FALSE)))</f>
        <v>1.1649340116493401E-2</v>
      </c>
      <c r="BI41" s="191">
        <f>IF(BI42=0,0,IF(BI43=0,VLOOKUP(BI42,'Memória de Cálculo'!$B$323:$H$358,7,FALSE),VLOOKUP(BI42,'Memória de Cálculo'!$B$323:$H$358,7,FALSE)+VLOOKUP(BI43,'Memória de Cálculo'!$B$323:$H$358,7,FALSE)))</f>
        <v>0</v>
      </c>
      <c r="BJ41" s="191">
        <f>IF(BJ42=0,0,IF(BJ43=0,VLOOKUP(BJ42,'Memória de Cálculo'!$B$323:$H$358,7,FALSE),VLOOKUP(BJ42,'Memória de Cálculo'!$B$323:$H$358,7,FALSE)+VLOOKUP(BJ43,'Memória de Cálculo'!$B$323:$H$358,7,FALSE)))</f>
        <v>0</v>
      </c>
      <c r="BK41" s="191">
        <f>IF(BK42=0,0,IF(BK43=0,VLOOKUP(BK42,'Memória de Cálculo'!$B$323:$H$358,7,FALSE),VLOOKUP(BK42,'Memória de Cálculo'!$B$323:$H$358,7,FALSE)+VLOOKUP(BK43,'Memória de Cálculo'!$B$323:$H$358,7,FALSE)))</f>
        <v>0</v>
      </c>
      <c r="BL41" s="191">
        <f>IF(BL42=0,0,IF(BL43=0,VLOOKUP(BL42,'Memória de Cálculo'!$B$323:$H$358,7,FALSE),VLOOKUP(BL42,'Memória de Cálculo'!$B$323:$H$358,7,FALSE)+VLOOKUP(BL43,'Memória de Cálculo'!$B$323:$H$358,7,FALSE)))</f>
        <v>0</v>
      </c>
      <c r="BM41" s="189"/>
    </row>
    <row r="42" spans="1:67" s="190" customFormat="1" ht="24.9" hidden="1" customHeight="1" x14ac:dyDescent="0.25">
      <c r="A42" s="381"/>
      <c r="B42" s="384"/>
      <c r="C42" s="378" t="s">
        <v>861</v>
      </c>
      <c r="D42" s="387"/>
      <c r="E42" s="348">
        <f>E38</f>
        <v>0</v>
      </c>
      <c r="F42" s="348">
        <f t="shared" ref="F42:BJ42" si="60">F38</f>
        <v>0</v>
      </c>
      <c r="G42" s="348" t="str">
        <f t="shared" si="60"/>
        <v>Nossa Senhora Aparecida - R02</v>
      </c>
      <c r="H42" s="348" t="str">
        <f t="shared" si="60"/>
        <v>Nossa Senhora Aparecida - R01</v>
      </c>
      <c r="I42" s="348" t="str">
        <f t="shared" si="60"/>
        <v>Nossa Senhora Aparecida - R01</v>
      </c>
      <c r="J42" s="348" t="str">
        <f t="shared" si="60"/>
        <v>Nossa Senhora Aparecida - R01</v>
      </c>
      <c r="K42" s="348" t="str">
        <f t="shared" si="60"/>
        <v>São Braz</v>
      </c>
      <c r="L42" s="348" t="str">
        <f t="shared" si="60"/>
        <v>São Braz</v>
      </c>
      <c r="M42" s="348" t="str">
        <f t="shared" si="60"/>
        <v>São Braz</v>
      </c>
      <c r="N42" s="348" t="str">
        <f t="shared" ref="F42:AZ43" si="61">N38</f>
        <v>São Marcos</v>
      </c>
      <c r="O42" s="348" t="str">
        <f t="shared" si="60"/>
        <v>São Marcos</v>
      </c>
      <c r="P42" s="348" t="str">
        <f t="shared" si="60"/>
        <v>Maria das Graças</v>
      </c>
      <c r="Q42" s="348" t="str">
        <f t="shared" si="60"/>
        <v>Maria das Graças</v>
      </c>
      <c r="R42" s="348" t="str">
        <f t="shared" si="60"/>
        <v>Maria das Graças</v>
      </c>
      <c r="S42" s="348" t="str">
        <f t="shared" si="60"/>
        <v>Novo Horizonte</v>
      </c>
      <c r="T42" s="348" t="str">
        <f t="shared" si="60"/>
        <v>Novo Horizonte</v>
      </c>
      <c r="U42" s="348" t="str">
        <f t="shared" si="60"/>
        <v>Honório Fraga</v>
      </c>
      <c r="V42" s="348" t="str">
        <f t="shared" si="60"/>
        <v>Honório Fraga</v>
      </c>
      <c r="W42" s="348" t="str">
        <f t="shared" si="60"/>
        <v>Honório Fraga</v>
      </c>
      <c r="X42" s="348" t="str">
        <f t="shared" si="60"/>
        <v>Vila Amélia</v>
      </c>
      <c r="Y42" s="348" t="str">
        <f t="shared" si="60"/>
        <v>Vila Amélia</v>
      </c>
      <c r="Z42" s="348" t="str">
        <f t="shared" si="60"/>
        <v>Vila Real</v>
      </c>
      <c r="AA42" s="348" t="str">
        <f t="shared" si="60"/>
        <v>Vista Linda I</v>
      </c>
      <c r="AB42" s="348" t="str">
        <f t="shared" si="60"/>
        <v>Morro Azul</v>
      </c>
      <c r="AC42" s="348" t="str">
        <f t="shared" si="60"/>
        <v>Quinze de Outubro - Gleba 01</v>
      </c>
      <c r="AD42" s="348" t="str">
        <f t="shared" si="60"/>
        <v>Quinze de Outubro - Gleba 01</v>
      </c>
      <c r="AE42" s="348" t="str">
        <f t="shared" si="60"/>
        <v>Gordiano Guimarães</v>
      </c>
      <c r="AF42" s="348" t="str">
        <f t="shared" si="60"/>
        <v>Gordiano Guimarães</v>
      </c>
      <c r="AG42" s="348">
        <f t="shared" si="60"/>
        <v>0</v>
      </c>
      <c r="AH42" s="348" t="str">
        <f t="shared" si="60"/>
        <v>Av. Costa Rica x Rio de Janeiro</v>
      </c>
      <c r="AI42" s="348" t="str">
        <f t="shared" si="60"/>
        <v>Paul da Graça Aranha</v>
      </c>
      <c r="AJ42" s="348" t="str">
        <f t="shared" si="60"/>
        <v>Paul da Graça Aranha</v>
      </c>
      <c r="AK42" s="348">
        <f t="shared" si="60"/>
        <v>0</v>
      </c>
      <c r="AL42" s="348" t="str">
        <f t="shared" si="60"/>
        <v>Robson Eli Terezani</v>
      </c>
      <c r="AM42" s="348" t="str">
        <f t="shared" si="60"/>
        <v>Robson Eli Terezani</v>
      </c>
      <c r="AN42" s="348" t="str">
        <f t="shared" si="60"/>
        <v>Lacê</v>
      </c>
      <c r="AO42" s="348" t="str">
        <f t="shared" si="60"/>
        <v>Lacê</v>
      </c>
      <c r="AP42" s="348" t="str">
        <f t="shared" si="60"/>
        <v>Itapina</v>
      </c>
      <c r="AQ42" s="348" t="str">
        <f t="shared" si="60"/>
        <v>Itapina</v>
      </c>
      <c r="AR42" s="348" t="str">
        <f t="shared" si="60"/>
        <v>São Judas Tadeu</v>
      </c>
      <c r="AS42" s="348" t="str">
        <f t="shared" si="60"/>
        <v>São Vicente</v>
      </c>
      <c r="AT42" s="348" t="str">
        <f t="shared" si="60"/>
        <v>São Vicente</v>
      </c>
      <c r="AU42" s="348">
        <f t="shared" si="60"/>
        <v>0</v>
      </c>
      <c r="AV42" s="348">
        <f t="shared" si="60"/>
        <v>0</v>
      </c>
      <c r="AW42" s="348">
        <f t="shared" si="60"/>
        <v>0</v>
      </c>
      <c r="AX42" s="348" t="str">
        <f t="shared" si="60"/>
        <v>Bela Vista</v>
      </c>
      <c r="AY42" s="348" t="str">
        <f t="shared" si="60"/>
        <v>Bela Vista</v>
      </c>
      <c r="AZ42" s="348" t="str">
        <f t="shared" si="60"/>
        <v>Bela Vista</v>
      </c>
      <c r="BA42" s="348" t="str">
        <f t="shared" si="60"/>
        <v>Colatina Velha</v>
      </c>
      <c r="BB42" s="348" t="str">
        <f t="shared" si="60"/>
        <v>Colatina Velha</v>
      </c>
      <c r="BC42" s="348" t="str">
        <f t="shared" si="60"/>
        <v>Vila Lenira</v>
      </c>
      <c r="BD42" s="348" t="str">
        <f t="shared" si="60"/>
        <v>Vila Lenira</v>
      </c>
      <c r="BE42" s="348" t="str">
        <f t="shared" ref="BE42:BH42" si="62">BE38</f>
        <v>Vila Lenira</v>
      </c>
      <c r="BF42" s="348" t="str">
        <f t="shared" si="62"/>
        <v>Alto Vila Nova</v>
      </c>
      <c r="BG42" s="348" t="str">
        <f t="shared" si="62"/>
        <v>Olívio Zanotelli</v>
      </c>
      <c r="BH42" s="348" t="str">
        <f t="shared" si="62"/>
        <v>Boapaba</v>
      </c>
      <c r="BI42" s="348">
        <f t="shared" si="60"/>
        <v>0</v>
      </c>
      <c r="BJ42" s="348">
        <f t="shared" si="60"/>
        <v>0</v>
      </c>
      <c r="BK42" s="348">
        <f t="shared" ref="BK42:BL42" si="63">BK38</f>
        <v>0</v>
      </c>
      <c r="BL42" s="348">
        <f t="shared" si="63"/>
        <v>0</v>
      </c>
      <c r="BM42" s="189"/>
    </row>
    <row r="43" spans="1:67" s="190" customFormat="1" ht="24.9" hidden="1" customHeight="1" x14ac:dyDescent="0.25">
      <c r="A43" s="381"/>
      <c r="B43" s="384"/>
      <c r="C43" s="379"/>
      <c r="D43" s="387"/>
      <c r="E43" s="337">
        <f>E39</f>
        <v>0</v>
      </c>
      <c r="F43" s="337">
        <f t="shared" si="61"/>
        <v>0</v>
      </c>
      <c r="G43" s="337">
        <f t="shared" si="61"/>
        <v>0</v>
      </c>
      <c r="H43" s="337" t="str">
        <f t="shared" si="61"/>
        <v>Nossa Senhora Aparecida - R02</v>
      </c>
      <c r="I43" s="337">
        <f t="shared" si="61"/>
        <v>0</v>
      </c>
      <c r="J43" s="337" t="str">
        <f t="shared" si="61"/>
        <v>São Pedro</v>
      </c>
      <c r="K43" s="337" t="str">
        <f t="shared" si="61"/>
        <v>São Pedro</v>
      </c>
      <c r="L43" s="337">
        <f t="shared" si="61"/>
        <v>0</v>
      </c>
      <c r="M43" s="337" t="str">
        <f t="shared" si="61"/>
        <v>São Marcos</v>
      </c>
      <c r="N43" s="337">
        <f t="shared" si="61"/>
        <v>0</v>
      </c>
      <c r="O43" s="337">
        <f t="shared" si="61"/>
        <v>0</v>
      </c>
      <c r="P43" s="337">
        <f t="shared" si="61"/>
        <v>0</v>
      </c>
      <c r="Q43" s="337" t="str">
        <f t="shared" si="61"/>
        <v>Santos Dumont / Aeroporto</v>
      </c>
      <c r="R43" s="337" t="str">
        <f t="shared" si="61"/>
        <v>Santos Dumont / Aeroporto</v>
      </c>
      <c r="S43" s="337" t="str">
        <f t="shared" si="61"/>
        <v>Santos Dumont / Aeroporto</v>
      </c>
      <c r="T43" s="337" t="str">
        <f t="shared" si="61"/>
        <v>R. Frederico Botan x João Tinelli (Honório Fraga)</v>
      </c>
      <c r="U43" s="337" t="str">
        <f t="shared" si="61"/>
        <v>Santo Antônio</v>
      </c>
      <c r="V43" s="337" t="str">
        <f t="shared" si="61"/>
        <v>Santo Antônio</v>
      </c>
      <c r="W43" s="337" t="str">
        <f t="shared" si="61"/>
        <v>Santo Antônio</v>
      </c>
      <c r="X43" s="337" t="str">
        <f t="shared" si="61"/>
        <v>Vila Real</v>
      </c>
      <c r="Y43" s="337" t="str">
        <f t="shared" si="61"/>
        <v>Vila Real</v>
      </c>
      <c r="Z43" s="337" t="str">
        <f t="shared" si="61"/>
        <v>Fioravante Marino</v>
      </c>
      <c r="AA43" s="337" t="str">
        <f t="shared" si="61"/>
        <v>Vista Linda II</v>
      </c>
      <c r="AB43" s="337" t="str">
        <f t="shared" si="61"/>
        <v>Industrial Alves Marques</v>
      </c>
      <c r="AC43" s="337" t="str">
        <f t="shared" si="61"/>
        <v>Quinze de Outubro - Gleba 02</v>
      </c>
      <c r="AD43" s="337" t="str">
        <f t="shared" si="61"/>
        <v>Quinze de Outubro - Gleba 03</v>
      </c>
      <c r="AE43" s="337" t="str">
        <f t="shared" si="61"/>
        <v>Reta Grande</v>
      </c>
      <c r="AF43" s="337">
        <f t="shared" si="61"/>
        <v>0</v>
      </c>
      <c r="AG43" s="337">
        <f t="shared" si="61"/>
        <v>0</v>
      </c>
      <c r="AH43" s="337">
        <f t="shared" si="61"/>
        <v>0</v>
      </c>
      <c r="AI43" s="337">
        <f t="shared" si="61"/>
        <v>0</v>
      </c>
      <c r="AJ43" s="337">
        <f t="shared" si="61"/>
        <v>0</v>
      </c>
      <c r="AK43" s="337">
        <f t="shared" si="61"/>
        <v>0</v>
      </c>
      <c r="AL43" s="337">
        <f t="shared" si="61"/>
        <v>0</v>
      </c>
      <c r="AM43" s="337">
        <f t="shared" si="61"/>
        <v>0</v>
      </c>
      <c r="AN43" s="337">
        <f t="shared" si="61"/>
        <v>0</v>
      </c>
      <c r="AO43" s="337">
        <f t="shared" si="61"/>
        <v>0</v>
      </c>
      <c r="AP43" s="337">
        <f t="shared" si="61"/>
        <v>0</v>
      </c>
      <c r="AQ43" s="337">
        <f t="shared" si="61"/>
        <v>0</v>
      </c>
      <c r="AR43" s="337">
        <f t="shared" si="61"/>
        <v>0</v>
      </c>
      <c r="AS43" s="337">
        <f t="shared" si="61"/>
        <v>0</v>
      </c>
      <c r="AT43" s="337">
        <f t="shared" si="61"/>
        <v>0</v>
      </c>
      <c r="AU43" s="337">
        <f t="shared" si="61"/>
        <v>0</v>
      </c>
      <c r="AV43" s="337">
        <f t="shared" si="61"/>
        <v>0</v>
      </c>
      <c r="AW43" s="337">
        <f t="shared" si="61"/>
        <v>0</v>
      </c>
      <c r="AX43" s="337">
        <f t="shared" si="61"/>
        <v>0</v>
      </c>
      <c r="AY43" s="337">
        <f t="shared" si="61"/>
        <v>0</v>
      </c>
      <c r="AZ43" s="337">
        <f t="shared" si="61"/>
        <v>0</v>
      </c>
      <c r="BA43" s="337">
        <f t="shared" ref="BA43:BD43" si="64">BA39</f>
        <v>0</v>
      </c>
      <c r="BB43" s="337">
        <f t="shared" si="64"/>
        <v>0</v>
      </c>
      <c r="BC43" s="337" t="str">
        <f t="shared" si="64"/>
        <v>Colatina Velha</v>
      </c>
      <c r="BD43" s="337">
        <f t="shared" si="64"/>
        <v>0</v>
      </c>
      <c r="BE43" s="337" t="str">
        <f t="shared" ref="BE43:BH43" si="65">BE39</f>
        <v>Alto Vila Nova</v>
      </c>
      <c r="BF43" s="337">
        <f t="shared" si="65"/>
        <v>0</v>
      </c>
      <c r="BG43" s="337">
        <f t="shared" si="65"/>
        <v>0</v>
      </c>
      <c r="BH43" s="337">
        <f t="shared" si="65"/>
        <v>0</v>
      </c>
      <c r="BI43" s="337">
        <f t="shared" ref="BI43:BJ43" si="66">BI39</f>
        <v>0</v>
      </c>
      <c r="BJ43" s="337">
        <f t="shared" si="66"/>
        <v>0</v>
      </c>
      <c r="BK43" s="337">
        <f t="shared" ref="BK43:BL43" si="67">BK39</f>
        <v>0</v>
      </c>
      <c r="BL43" s="337">
        <f t="shared" si="67"/>
        <v>0</v>
      </c>
      <c r="BM43" s="189"/>
    </row>
    <row r="44" spans="1:67" s="100" customFormat="1" ht="24.9" customHeight="1" x14ac:dyDescent="0.25">
      <c r="A44" s="382"/>
      <c r="B44" s="385"/>
      <c r="C44" s="334" t="s">
        <v>14</v>
      </c>
      <c r="D44" s="388"/>
      <c r="E44" s="343">
        <f t="shared" ref="E44:AJ44" si="68">E41*$D$41</f>
        <v>0</v>
      </c>
      <c r="F44" s="343">
        <f t="shared" si="68"/>
        <v>0</v>
      </c>
      <c r="G44" s="343">
        <f t="shared" si="68"/>
        <v>0</v>
      </c>
      <c r="H44" s="343">
        <f t="shared" si="68"/>
        <v>0</v>
      </c>
      <c r="I44" s="343">
        <f t="shared" si="68"/>
        <v>0</v>
      </c>
      <c r="J44" s="343">
        <f t="shared" si="68"/>
        <v>0</v>
      </c>
      <c r="K44" s="343">
        <f t="shared" si="68"/>
        <v>0</v>
      </c>
      <c r="L44" s="343">
        <f t="shared" si="68"/>
        <v>0</v>
      </c>
      <c r="M44" s="343">
        <f t="shared" si="68"/>
        <v>0</v>
      </c>
      <c r="N44" s="343">
        <f t="shared" si="68"/>
        <v>0</v>
      </c>
      <c r="O44" s="343">
        <f t="shared" si="68"/>
        <v>0</v>
      </c>
      <c r="P44" s="343">
        <f t="shared" si="68"/>
        <v>0</v>
      </c>
      <c r="Q44" s="343">
        <f t="shared" si="68"/>
        <v>0</v>
      </c>
      <c r="R44" s="343">
        <f t="shared" si="68"/>
        <v>0</v>
      </c>
      <c r="S44" s="343">
        <f t="shared" si="68"/>
        <v>0</v>
      </c>
      <c r="T44" s="343">
        <f t="shared" si="68"/>
        <v>0</v>
      </c>
      <c r="U44" s="343">
        <f t="shared" si="68"/>
        <v>0</v>
      </c>
      <c r="V44" s="343">
        <f t="shared" si="68"/>
        <v>0</v>
      </c>
      <c r="W44" s="343">
        <f t="shared" si="68"/>
        <v>0</v>
      </c>
      <c r="X44" s="343">
        <f t="shared" si="68"/>
        <v>0</v>
      </c>
      <c r="Y44" s="343">
        <f t="shared" si="68"/>
        <v>0</v>
      </c>
      <c r="Z44" s="343">
        <f t="shared" si="68"/>
        <v>0</v>
      </c>
      <c r="AA44" s="343">
        <f t="shared" si="68"/>
        <v>0</v>
      </c>
      <c r="AB44" s="343">
        <f t="shared" si="68"/>
        <v>0</v>
      </c>
      <c r="AC44" s="343">
        <f t="shared" si="68"/>
        <v>0</v>
      </c>
      <c r="AD44" s="343">
        <f t="shared" si="68"/>
        <v>0</v>
      </c>
      <c r="AE44" s="343">
        <f t="shared" si="68"/>
        <v>0</v>
      </c>
      <c r="AF44" s="343">
        <f t="shared" si="68"/>
        <v>0</v>
      </c>
      <c r="AG44" s="343">
        <f t="shared" si="68"/>
        <v>0</v>
      </c>
      <c r="AH44" s="343">
        <f t="shared" si="68"/>
        <v>0</v>
      </c>
      <c r="AI44" s="343">
        <f t="shared" si="68"/>
        <v>0</v>
      </c>
      <c r="AJ44" s="343">
        <f t="shared" si="68"/>
        <v>0</v>
      </c>
      <c r="AK44" s="343">
        <f t="shared" ref="AK44:BL44" si="69">AK41*$D$41</f>
        <v>0</v>
      </c>
      <c r="AL44" s="343">
        <f t="shared" si="69"/>
        <v>0</v>
      </c>
      <c r="AM44" s="343">
        <f t="shared" si="69"/>
        <v>0</v>
      </c>
      <c r="AN44" s="343">
        <f t="shared" si="69"/>
        <v>0</v>
      </c>
      <c r="AO44" s="343">
        <f t="shared" si="69"/>
        <v>0</v>
      </c>
      <c r="AP44" s="343">
        <f t="shared" si="69"/>
        <v>0</v>
      </c>
      <c r="AQ44" s="343">
        <f t="shared" si="69"/>
        <v>0</v>
      </c>
      <c r="AR44" s="343">
        <f t="shared" si="69"/>
        <v>0</v>
      </c>
      <c r="AS44" s="343">
        <f t="shared" si="69"/>
        <v>0</v>
      </c>
      <c r="AT44" s="343">
        <f t="shared" si="69"/>
        <v>0</v>
      </c>
      <c r="AU44" s="343">
        <f t="shared" si="69"/>
        <v>0</v>
      </c>
      <c r="AV44" s="343">
        <f t="shared" si="69"/>
        <v>0</v>
      </c>
      <c r="AW44" s="343">
        <f t="shared" si="69"/>
        <v>0</v>
      </c>
      <c r="AX44" s="343">
        <f t="shared" si="69"/>
        <v>0</v>
      </c>
      <c r="AY44" s="343">
        <f t="shared" si="69"/>
        <v>0</v>
      </c>
      <c r="AZ44" s="343">
        <f t="shared" si="69"/>
        <v>0</v>
      </c>
      <c r="BA44" s="343">
        <f t="shared" si="69"/>
        <v>0</v>
      </c>
      <c r="BB44" s="343">
        <f t="shared" si="69"/>
        <v>0</v>
      </c>
      <c r="BC44" s="343">
        <f t="shared" si="69"/>
        <v>0</v>
      </c>
      <c r="BD44" s="343">
        <f t="shared" si="69"/>
        <v>0</v>
      </c>
      <c r="BE44" s="343">
        <f t="shared" si="69"/>
        <v>0</v>
      </c>
      <c r="BF44" s="343">
        <f t="shared" si="69"/>
        <v>0</v>
      </c>
      <c r="BG44" s="343">
        <f t="shared" si="69"/>
        <v>0</v>
      </c>
      <c r="BH44" s="343">
        <f t="shared" si="69"/>
        <v>0</v>
      </c>
      <c r="BI44" s="343">
        <f t="shared" si="69"/>
        <v>0</v>
      </c>
      <c r="BJ44" s="343">
        <f t="shared" si="69"/>
        <v>0</v>
      </c>
      <c r="BK44" s="343">
        <f t="shared" si="69"/>
        <v>0</v>
      </c>
      <c r="BL44" s="343">
        <f t="shared" si="69"/>
        <v>0</v>
      </c>
      <c r="BM44" s="344"/>
      <c r="BN44" s="100">
        <f>SUM(E44:BL44)</f>
        <v>0</v>
      </c>
      <c r="BO44" s="100">
        <f>BN44-D41</f>
        <v>0</v>
      </c>
    </row>
    <row r="45" spans="1:67" s="190" customFormat="1" ht="24.9" customHeight="1" x14ac:dyDescent="0.25">
      <c r="A45" s="380" t="s">
        <v>45</v>
      </c>
      <c r="B45" s="383" t="str">
        <f>'Planilha Orçamentária'!D16</f>
        <v>Licença de Software, disponibilização do servidor de imagem e suporte técnico - Regularização Fundiária</v>
      </c>
      <c r="C45" s="188" t="s">
        <v>13</v>
      </c>
      <c r="D45" s="386">
        <f>'Planilha Orçamentária'!I16</f>
        <v>0</v>
      </c>
      <c r="E45" s="191">
        <f>'Memória de Cálculo'!$H$362</f>
        <v>1.6666666666666666E-2</v>
      </c>
      <c r="F45" s="191">
        <f>'Memória de Cálculo'!$H$362</f>
        <v>1.6666666666666666E-2</v>
      </c>
      <c r="G45" s="191">
        <f>'Memória de Cálculo'!$H$362</f>
        <v>1.6666666666666666E-2</v>
      </c>
      <c r="H45" s="191">
        <f>'Memória de Cálculo'!$H$362</f>
        <v>1.6666666666666666E-2</v>
      </c>
      <c r="I45" s="191">
        <f>'Memória de Cálculo'!$H$362</f>
        <v>1.6666666666666666E-2</v>
      </c>
      <c r="J45" s="191">
        <f>'Memória de Cálculo'!$H$362</f>
        <v>1.6666666666666666E-2</v>
      </c>
      <c r="K45" s="191">
        <f>'Memória de Cálculo'!$H$362</f>
        <v>1.6666666666666666E-2</v>
      </c>
      <c r="L45" s="191">
        <f>'Memória de Cálculo'!$H$362</f>
        <v>1.6666666666666666E-2</v>
      </c>
      <c r="M45" s="191">
        <f>'Memória de Cálculo'!$H$362</f>
        <v>1.6666666666666666E-2</v>
      </c>
      <c r="N45" s="191">
        <f>'Memória de Cálculo'!$H$362</f>
        <v>1.6666666666666666E-2</v>
      </c>
      <c r="O45" s="191">
        <f>'Memória de Cálculo'!$H$362</f>
        <v>1.6666666666666666E-2</v>
      </c>
      <c r="P45" s="191">
        <f>'Memória de Cálculo'!$H$362</f>
        <v>1.6666666666666666E-2</v>
      </c>
      <c r="Q45" s="191">
        <f>'Memória de Cálculo'!$H$362</f>
        <v>1.6666666666666666E-2</v>
      </c>
      <c r="R45" s="191">
        <f>'Memória de Cálculo'!$H$362</f>
        <v>1.6666666666666666E-2</v>
      </c>
      <c r="S45" s="191">
        <f>'Memória de Cálculo'!$H$362</f>
        <v>1.6666666666666666E-2</v>
      </c>
      <c r="T45" s="191">
        <f>'Memória de Cálculo'!$H$362</f>
        <v>1.6666666666666666E-2</v>
      </c>
      <c r="U45" s="191">
        <f>'Memória de Cálculo'!$H$362</f>
        <v>1.6666666666666666E-2</v>
      </c>
      <c r="V45" s="191">
        <f>'Memória de Cálculo'!$H$362</f>
        <v>1.6666666666666666E-2</v>
      </c>
      <c r="W45" s="191">
        <f>'Memória de Cálculo'!$H$362</f>
        <v>1.6666666666666666E-2</v>
      </c>
      <c r="X45" s="191">
        <f>'Memória de Cálculo'!$H$362</f>
        <v>1.6666666666666666E-2</v>
      </c>
      <c r="Y45" s="191">
        <f>'Memória de Cálculo'!$H$362</f>
        <v>1.6666666666666666E-2</v>
      </c>
      <c r="Z45" s="191">
        <f>'Memória de Cálculo'!$H$362</f>
        <v>1.6666666666666666E-2</v>
      </c>
      <c r="AA45" s="191">
        <f>'Memória de Cálculo'!$H$362</f>
        <v>1.6666666666666666E-2</v>
      </c>
      <c r="AB45" s="191">
        <f>'Memória de Cálculo'!$H$362</f>
        <v>1.6666666666666666E-2</v>
      </c>
      <c r="AC45" s="191">
        <f>'Memória de Cálculo'!$H$362</f>
        <v>1.6666666666666666E-2</v>
      </c>
      <c r="AD45" s="191">
        <f>'Memória de Cálculo'!$H$362</f>
        <v>1.6666666666666666E-2</v>
      </c>
      <c r="AE45" s="191">
        <f>'Memória de Cálculo'!$H$362</f>
        <v>1.6666666666666666E-2</v>
      </c>
      <c r="AF45" s="191">
        <f>'Memória de Cálculo'!$H$362</f>
        <v>1.6666666666666666E-2</v>
      </c>
      <c r="AG45" s="191">
        <f>'Memória de Cálculo'!$H$362</f>
        <v>1.6666666666666666E-2</v>
      </c>
      <c r="AH45" s="191">
        <f>'Memória de Cálculo'!$H$362</f>
        <v>1.6666666666666666E-2</v>
      </c>
      <c r="AI45" s="191">
        <f>'Memória de Cálculo'!$H$362</f>
        <v>1.6666666666666666E-2</v>
      </c>
      <c r="AJ45" s="191">
        <f>'Memória de Cálculo'!$H$362</f>
        <v>1.6666666666666666E-2</v>
      </c>
      <c r="AK45" s="191">
        <f>'Memória de Cálculo'!$H$362</f>
        <v>1.6666666666666666E-2</v>
      </c>
      <c r="AL45" s="191">
        <f>'Memória de Cálculo'!$H$362</f>
        <v>1.6666666666666666E-2</v>
      </c>
      <c r="AM45" s="191">
        <f>'Memória de Cálculo'!$H$362</f>
        <v>1.6666666666666666E-2</v>
      </c>
      <c r="AN45" s="191">
        <f>'Memória de Cálculo'!$H$362</f>
        <v>1.6666666666666666E-2</v>
      </c>
      <c r="AO45" s="191">
        <f>'Memória de Cálculo'!$H$362</f>
        <v>1.6666666666666666E-2</v>
      </c>
      <c r="AP45" s="191">
        <f>'Memória de Cálculo'!$H$362</f>
        <v>1.6666666666666666E-2</v>
      </c>
      <c r="AQ45" s="191">
        <f>'Memória de Cálculo'!$H$362</f>
        <v>1.6666666666666666E-2</v>
      </c>
      <c r="AR45" s="191">
        <f>'Memória de Cálculo'!$H$362</f>
        <v>1.6666666666666666E-2</v>
      </c>
      <c r="AS45" s="191">
        <f>'Memória de Cálculo'!$H$362</f>
        <v>1.6666666666666666E-2</v>
      </c>
      <c r="AT45" s="191">
        <f>'Memória de Cálculo'!$H$362</f>
        <v>1.6666666666666666E-2</v>
      </c>
      <c r="AU45" s="191">
        <f>'Memória de Cálculo'!$H$362</f>
        <v>1.6666666666666666E-2</v>
      </c>
      <c r="AV45" s="191">
        <f>'Memória de Cálculo'!$H$362</f>
        <v>1.6666666666666666E-2</v>
      </c>
      <c r="AW45" s="191">
        <f>'Memória de Cálculo'!$H$362</f>
        <v>1.6666666666666666E-2</v>
      </c>
      <c r="AX45" s="191">
        <f>'Memória de Cálculo'!$H$362</f>
        <v>1.6666666666666666E-2</v>
      </c>
      <c r="AY45" s="191">
        <f>'Memória de Cálculo'!$H$362</f>
        <v>1.6666666666666666E-2</v>
      </c>
      <c r="AZ45" s="191">
        <f>'Memória de Cálculo'!$H$362</f>
        <v>1.6666666666666666E-2</v>
      </c>
      <c r="BA45" s="191">
        <f>'Memória de Cálculo'!$H$362</f>
        <v>1.6666666666666666E-2</v>
      </c>
      <c r="BB45" s="191">
        <f>'Memória de Cálculo'!$H$362</f>
        <v>1.6666666666666666E-2</v>
      </c>
      <c r="BC45" s="191">
        <f>'Memória de Cálculo'!$H$362</f>
        <v>1.6666666666666666E-2</v>
      </c>
      <c r="BD45" s="191">
        <f>'Memória de Cálculo'!$H$362</f>
        <v>1.6666666666666666E-2</v>
      </c>
      <c r="BE45" s="191">
        <f>'Memória de Cálculo'!$H$362</f>
        <v>1.6666666666666666E-2</v>
      </c>
      <c r="BF45" s="191">
        <f>'Memória de Cálculo'!$H$362</f>
        <v>1.6666666666666666E-2</v>
      </c>
      <c r="BG45" s="191">
        <f>'Memória de Cálculo'!$H$362</f>
        <v>1.6666666666666666E-2</v>
      </c>
      <c r="BH45" s="191">
        <f>'Memória de Cálculo'!$H$362</f>
        <v>1.6666666666666666E-2</v>
      </c>
      <c r="BI45" s="191">
        <f>'Memória de Cálculo'!$H$362</f>
        <v>1.6666666666666666E-2</v>
      </c>
      <c r="BJ45" s="191">
        <f>'Memória de Cálculo'!$H$362</f>
        <v>1.6666666666666666E-2</v>
      </c>
      <c r="BK45" s="191">
        <f>'Memória de Cálculo'!$H$362</f>
        <v>1.6666666666666666E-2</v>
      </c>
      <c r="BL45" s="191">
        <f>'Memória de Cálculo'!$H$362</f>
        <v>1.6666666666666666E-2</v>
      </c>
      <c r="BM45" s="189"/>
    </row>
    <row r="46" spans="1:67" s="100" customFormat="1" ht="24.9" customHeight="1" x14ac:dyDescent="0.25">
      <c r="A46" s="382"/>
      <c r="B46" s="385"/>
      <c r="C46" s="334" t="s">
        <v>14</v>
      </c>
      <c r="D46" s="388"/>
      <c r="E46" s="343">
        <f>E45*$D$45</f>
        <v>0</v>
      </c>
      <c r="F46" s="343">
        <f t="shared" ref="F46:BJ46" si="70">F45*$D$45</f>
        <v>0</v>
      </c>
      <c r="G46" s="343">
        <f t="shared" si="70"/>
        <v>0</v>
      </c>
      <c r="H46" s="343">
        <f t="shared" si="70"/>
        <v>0</v>
      </c>
      <c r="I46" s="343">
        <f t="shared" si="70"/>
        <v>0</v>
      </c>
      <c r="J46" s="343">
        <f t="shared" si="70"/>
        <v>0</v>
      </c>
      <c r="K46" s="343">
        <f t="shared" si="70"/>
        <v>0</v>
      </c>
      <c r="L46" s="343">
        <f t="shared" si="70"/>
        <v>0</v>
      </c>
      <c r="M46" s="343">
        <f t="shared" si="70"/>
        <v>0</v>
      </c>
      <c r="N46" s="343">
        <f t="shared" si="70"/>
        <v>0</v>
      </c>
      <c r="O46" s="343">
        <f t="shared" si="70"/>
        <v>0</v>
      </c>
      <c r="P46" s="343">
        <f>P45*$D$45</f>
        <v>0</v>
      </c>
      <c r="Q46" s="343">
        <f>Q45*$D$45</f>
        <v>0</v>
      </c>
      <c r="R46" s="343">
        <f t="shared" ref="R46:AA46" si="71">R45*$D$45</f>
        <v>0</v>
      </c>
      <c r="S46" s="343">
        <f t="shared" si="71"/>
        <v>0</v>
      </c>
      <c r="T46" s="343">
        <f t="shared" si="71"/>
        <v>0</v>
      </c>
      <c r="U46" s="343">
        <f t="shared" si="71"/>
        <v>0</v>
      </c>
      <c r="V46" s="343">
        <f t="shared" si="71"/>
        <v>0</v>
      </c>
      <c r="W46" s="343">
        <f t="shared" si="71"/>
        <v>0</v>
      </c>
      <c r="X46" s="343">
        <f t="shared" si="71"/>
        <v>0</v>
      </c>
      <c r="Y46" s="343">
        <f t="shared" si="71"/>
        <v>0</v>
      </c>
      <c r="Z46" s="343">
        <f t="shared" si="71"/>
        <v>0</v>
      </c>
      <c r="AA46" s="343">
        <f t="shared" si="71"/>
        <v>0</v>
      </c>
      <c r="AB46" s="343">
        <f>AB45*$D$45</f>
        <v>0</v>
      </c>
      <c r="AC46" s="343">
        <f>AC45*$D$45</f>
        <v>0</v>
      </c>
      <c r="AD46" s="343">
        <f t="shared" ref="AD46:AM46" si="72">AD45*$D$45</f>
        <v>0</v>
      </c>
      <c r="AE46" s="343">
        <f t="shared" si="72"/>
        <v>0</v>
      </c>
      <c r="AF46" s="343">
        <f t="shared" si="72"/>
        <v>0</v>
      </c>
      <c r="AG46" s="343">
        <f t="shared" si="72"/>
        <v>0</v>
      </c>
      <c r="AH46" s="343">
        <f t="shared" si="72"/>
        <v>0</v>
      </c>
      <c r="AI46" s="343">
        <f t="shared" si="72"/>
        <v>0</v>
      </c>
      <c r="AJ46" s="343">
        <f t="shared" si="72"/>
        <v>0</v>
      </c>
      <c r="AK46" s="343">
        <f t="shared" si="72"/>
        <v>0</v>
      </c>
      <c r="AL46" s="343">
        <f t="shared" si="72"/>
        <v>0</v>
      </c>
      <c r="AM46" s="343">
        <f t="shared" si="72"/>
        <v>0</v>
      </c>
      <c r="AN46" s="343">
        <f>AN45*$D$45</f>
        <v>0</v>
      </c>
      <c r="AO46" s="343">
        <f>AO45*$D$45</f>
        <v>0</v>
      </c>
      <c r="AP46" s="343">
        <f t="shared" ref="AP46:AY46" si="73">AP45*$D$45</f>
        <v>0</v>
      </c>
      <c r="AQ46" s="343">
        <f t="shared" si="73"/>
        <v>0</v>
      </c>
      <c r="AR46" s="343">
        <f t="shared" si="73"/>
        <v>0</v>
      </c>
      <c r="AS46" s="343">
        <f t="shared" si="73"/>
        <v>0</v>
      </c>
      <c r="AT46" s="343">
        <f t="shared" si="73"/>
        <v>0</v>
      </c>
      <c r="AU46" s="343">
        <f t="shared" si="73"/>
        <v>0</v>
      </c>
      <c r="AV46" s="343">
        <f t="shared" si="73"/>
        <v>0</v>
      </c>
      <c r="AW46" s="343">
        <f t="shared" si="73"/>
        <v>0</v>
      </c>
      <c r="AX46" s="343">
        <f t="shared" si="73"/>
        <v>0</v>
      </c>
      <c r="AY46" s="343">
        <f t="shared" si="73"/>
        <v>0</v>
      </c>
      <c r="AZ46" s="343">
        <f t="shared" si="70"/>
        <v>0</v>
      </c>
      <c r="BA46" s="343">
        <f t="shared" si="70"/>
        <v>0</v>
      </c>
      <c r="BB46" s="343">
        <f t="shared" si="70"/>
        <v>0</v>
      </c>
      <c r="BC46" s="343">
        <f t="shared" si="70"/>
        <v>0</v>
      </c>
      <c r="BD46" s="343">
        <f t="shared" si="70"/>
        <v>0</v>
      </c>
      <c r="BE46" s="343">
        <f t="shared" ref="BE46:BH46" si="74">BE45*$D$45</f>
        <v>0</v>
      </c>
      <c r="BF46" s="343">
        <f t="shared" si="74"/>
        <v>0</v>
      </c>
      <c r="BG46" s="343">
        <f t="shared" si="74"/>
        <v>0</v>
      </c>
      <c r="BH46" s="343">
        <f t="shared" si="74"/>
        <v>0</v>
      </c>
      <c r="BI46" s="343">
        <f t="shared" si="70"/>
        <v>0</v>
      </c>
      <c r="BJ46" s="343">
        <f t="shared" si="70"/>
        <v>0</v>
      </c>
      <c r="BK46" s="343">
        <f t="shared" ref="BK46:BL46" si="75">BK45*$D$45</f>
        <v>0</v>
      </c>
      <c r="BL46" s="343">
        <f t="shared" si="75"/>
        <v>0</v>
      </c>
      <c r="BM46" s="344"/>
      <c r="BN46" s="100">
        <f>SUM(E46:BL46)</f>
        <v>0</v>
      </c>
      <c r="BO46" s="100">
        <f>BN46-D45</f>
        <v>0</v>
      </c>
    </row>
    <row r="47" spans="1:67" s="190" customFormat="1" ht="24.9" customHeight="1" x14ac:dyDescent="0.25">
      <c r="A47" s="380" t="s">
        <v>205</v>
      </c>
      <c r="B47" s="383" t="str">
        <f>'Planilha Orçamentária'!D17</f>
        <v>Treinamento no uso do Sistema de Gestão da Informação em Regularização Fundiária</v>
      </c>
      <c r="C47" s="188" t="s">
        <v>13</v>
      </c>
      <c r="D47" s="386">
        <f>'Planilha Orçamentária'!I17</f>
        <v>0</v>
      </c>
      <c r="E47" s="191">
        <v>0.2</v>
      </c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>
        <v>0.2</v>
      </c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>
        <v>0.2</v>
      </c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>
        <v>0.2</v>
      </c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>
        <v>0.1</v>
      </c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>
        <v>0.1</v>
      </c>
      <c r="BM47" s="189"/>
    </row>
    <row r="48" spans="1:67" s="100" customFormat="1" ht="24.9" customHeight="1" x14ac:dyDescent="0.25">
      <c r="A48" s="382"/>
      <c r="B48" s="385"/>
      <c r="C48" s="334" t="s">
        <v>14</v>
      </c>
      <c r="D48" s="388"/>
      <c r="E48" s="343">
        <f>E47*$D$47</f>
        <v>0</v>
      </c>
      <c r="F48" s="343">
        <f t="shared" ref="F48:BJ48" si="76">F47*$D$47</f>
        <v>0</v>
      </c>
      <c r="G48" s="343">
        <f t="shared" si="76"/>
        <v>0</v>
      </c>
      <c r="H48" s="343">
        <f t="shared" si="76"/>
        <v>0</v>
      </c>
      <c r="I48" s="343">
        <f t="shared" si="76"/>
        <v>0</v>
      </c>
      <c r="J48" s="343">
        <f t="shared" si="76"/>
        <v>0</v>
      </c>
      <c r="K48" s="343">
        <f t="shared" si="76"/>
        <v>0</v>
      </c>
      <c r="L48" s="343">
        <f t="shared" si="76"/>
        <v>0</v>
      </c>
      <c r="M48" s="343">
        <f t="shared" si="76"/>
        <v>0</v>
      </c>
      <c r="N48" s="343">
        <f t="shared" si="76"/>
        <v>0</v>
      </c>
      <c r="O48" s="343">
        <f t="shared" si="76"/>
        <v>0</v>
      </c>
      <c r="P48" s="343">
        <f>P47*$D$47</f>
        <v>0</v>
      </c>
      <c r="Q48" s="343">
        <f>Q47*$D$47</f>
        <v>0</v>
      </c>
      <c r="R48" s="343">
        <f t="shared" ref="R48:AA48" si="77">R47*$D$47</f>
        <v>0</v>
      </c>
      <c r="S48" s="343">
        <f t="shared" si="77"/>
        <v>0</v>
      </c>
      <c r="T48" s="343">
        <f t="shared" si="77"/>
        <v>0</v>
      </c>
      <c r="U48" s="343">
        <f t="shared" si="77"/>
        <v>0</v>
      </c>
      <c r="V48" s="343">
        <f t="shared" si="77"/>
        <v>0</v>
      </c>
      <c r="W48" s="343">
        <f t="shared" si="77"/>
        <v>0</v>
      </c>
      <c r="X48" s="343">
        <f t="shared" si="77"/>
        <v>0</v>
      </c>
      <c r="Y48" s="343">
        <f t="shared" si="77"/>
        <v>0</v>
      </c>
      <c r="Z48" s="343">
        <f t="shared" si="77"/>
        <v>0</v>
      </c>
      <c r="AA48" s="343">
        <f t="shared" si="77"/>
        <v>0</v>
      </c>
      <c r="AB48" s="343">
        <f>AB47*$D$47</f>
        <v>0</v>
      </c>
      <c r="AC48" s="343">
        <f>AC47*$D$47</f>
        <v>0</v>
      </c>
      <c r="AD48" s="343">
        <f t="shared" ref="AD48:AM48" si="78">AD47*$D$47</f>
        <v>0</v>
      </c>
      <c r="AE48" s="343">
        <f t="shared" si="78"/>
        <v>0</v>
      </c>
      <c r="AF48" s="343">
        <f t="shared" si="78"/>
        <v>0</v>
      </c>
      <c r="AG48" s="343">
        <f t="shared" si="78"/>
        <v>0</v>
      </c>
      <c r="AH48" s="343">
        <f t="shared" si="78"/>
        <v>0</v>
      </c>
      <c r="AI48" s="343">
        <f t="shared" si="78"/>
        <v>0</v>
      </c>
      <c r="AJ48" s="343">
        <f t="shared" si="78"/>
        <v>0</v>
      </c>
      <c r="AK48" s="343">
        <f t="shared" si="78"/>
        <v>0</v>
      </c>
      <c r="AL48" s="343">
        <f t="shared" si="78"/>
        <v>0</v>
      </c>
      <c r="AM48" s="343">
        <f t="shared" si="78"/>
        <v>0</v>
      </c>
      <c r="AN48" s="343">
        <f>AN47*$D$47</f>
        <v>0</v>
      </c>
      <c r="AO48" s="343">
        <f>AO47*$D$47</f>
        <v>0</v>
      </c>
      <c r="AP48" s="343">
        <f t="shared" ref="AP48:AY48" si="79">AP47*$D$47</f>
        <v>0</v>
      </c>
      <c r="AQ48" s="343">
        <f t="shared" si="79"/>
        <v>0</v>
      </c>
      <c r="AR48" s="343">
        <f t="shared" si="79"/>
        <v>0</v>
      </c>
      <c r="AS48" s="343">
        <f t="shared" si="79"/>
        <v>0</v>
      </c>
      <c r="AT48" s="343">
        <f t="shared" si="79"/>
        <v>0</v>
      </c>
      <c r="AU48" s="343">
        <f t="shared" si="79"/>
        <v>0</v>
      </c>
      <c r="AV48" s="343">
        <f t="shared" si="79"/>
        <v>0</v>
      </c>
      <c r="AW48" s="343">
        <f t="shared" si="79"/>
        <v>0</v>
      </c>
      <c r="AX48" s="343">
        <f t="shared" si="79"/>
        <v>0</v>
      </c>
      <c r="AY48" s="343">
        <f t="shared" si="79"/>
        <v>0</v>
      </c>
      <c r="AZ48" s="343">
        <f t="shared" si="76"/>
        <v>0</v>
      </c>
      <c r="BA48" s="343">
        <f t="shared" si="76"/>
        <v>0</v>
      </c>
      <c r="BB48" s="343">
        <f t="shared" si="76"/>
        <v>0</v>
      </c>
      <c r="BC48" s="343">
        <f t="shared" si="76"/>
        <v>0</v>
      </c>
      <c r="BD48" s="343">
        <f t="shared" si="76"/>
        <v>0</v>
      </c>
      <c r="BE48" s="343">
        <f t="shared" ref="BE48:BH48" si="80">BE47*$D$47</f>
        <v>0</v>
      </c>
      <c r="BF48" s="343">
        <f t="shared" si="80"/>
        <v>0</v>
      </c>
      <c r="BG48" s="343">
        <f t="shared" si="80"/>
        <v>0</v>
      </c>
      <c r="BH48" s="343">
        <f t="shared" si="80"/>
        <v>0</v>
      </c>
      <c r="BI48" s="343">
        <f t="shared" si="76"/>
        <v>0</v>
      </c>
      <c r="BJ48" s="343">
        <f t="shared" si="76"/>
        <v>0</v>
      </c>
      <c r="BK48" s="343">
        <f t="shared" ref="BK48:BL48" si="81">BK47*$D$47</f>
        <v>0</v>
      </c>
      <c r="BL48" s="343">
        <f t="shared" si="81"/>
        <v>0</v>
      </c>
      <c r="BM48" s="344"/>
      <c r="BN48" s="100">
        <f>SUM(E48:BL48)</f>
        <v>0</v>
      </c>
      <c r="BO48" s="100">
        <f>BN48-D47</f>
        <v>0</v>
      </c>
    </row>
    <row r="49" spans="1:65" ht="24.9" customHeight="1" x14ac:dyDescent="0.25">
      <c r="A49" s="399" t="s">
        <v>15</v>
      </c>
      <c r="B49" s="399"/>
      <c r="C49" s="399"/>
      <c r="D49" s="400">
        <f>SUM(D7:D48)</f>
        <v>0</v>
      </c>
      <c r="E49" s="285" t="e">
        <f>E51/$D$49</f>
        <v>#DIV/0!</v>
      </c>
      <c r="F49" s="285" t="e">
        <f>F51/$D$49</f>
        <v>#DIV/0!</v>
      </c>
      <c r="G49" s="285" t="e">
        <f t="shared" ref="G49:BJ49" si="82">G51/$D$49</f>
        <v>#DIV/0!</v>
      </c>
      <c r="H49" s="285" t="e">
        <f t="shared" si="82"/>
        <v>#DIV/0!</v>
      </c>
      <c r="I49" s="285" t="e">
        <f t="shared" si="82"/>
        <v>#DIV/0!</v>
      </c>
      <c r="J49" s="285" t="e">
        <f t="shared" si="82"/>
        <v>#DIV/0!</v>
      </c>
      <c r="K49" s="285" t="e">
        <f t="shared" si="82"/>
        <v>#DIV/0!</v>
      </c>
      <c r="L49" s="285" t="e">
        <f t="shared" si="82"/>
        <v>#DIV/0!</v>
      </c>
      <c r="M49" s="285" t="e">
        <f t="shared" si="82"/>
        <v>#DIV/0!</v>
      </c>
      <c r="N49" s="285" t="e">
        <f t="shared" si="82"/>
        <v>#DIV/0!</v>
      </c>
      <c r="O49" s="285" t="e">
        <f t="shared" si="82"/>
        <v>#DIV/0!</v>
      </c>
      <c r="P49" s="285" t="e">
        <f t="shared" si="82"/>
        <v>#DIV/0!</v>
      </c>
      <c r="Q49" s="285" t="e">
        <f>Q51/$D$49</f>
        <v>#DIV/0!</v>
      </c>
      <c r="R49" s="285" t="e">
        <f>R51/$D$49</f>
        <v>#DIV/0!</v>
      </c>
      <c r="S49" s="285" t="e">
        <f t="shared" ref="S49:AB49" si="83">S51/$D$49</f>
        <v>#DIV/0!</v>
      </c>
      <c r="T49" s="285" t="e">
        <f t="shared" si="83"/>
        <v>#DIV/0!</v>
      </c>
      <c r="U49" s="285" t="e">
        <f t="shared" si="83"/>
        <v>#DIV/0!</v>
      </c>
      <c r="V49" s="285" t="e">
        <f t="shared" si="83"/>
        <v>#DIV/0!</v>
      </c>
      <c r="W49" s="285" t="e">
        <f t="shared" si="83"/>
        <v>#DIV/0!</v>
      </c>
      <c r="X49" s="285" t="e">
        <f t="shared" si="83"/>
        <v>#DIV/0!</v>
      </c>
      <c r="Y49" s="285" t="e">
        <f t="shared" si="83"/>
        <v>#DIV/0!</v>
      </c>
      <c r="Z49" s="285" t="e">
        <f t="shared" si="83"/>
        <v>#DIV/0!</v>
      </c>
      <c r="AA49" s="285" t="e">
        <f t="shared" si="83"/>
        <v>#DIV/0!</v>
      </c>
      <c r="AB49" s="285" t="e">
        <f t="shared" si="83"/>
        <v>#DIV/0!</v>
      </c>
      <c r="AC49" s="285" t="e">
        <f>AC51/$D$49</f>
        <v>#DIV/0!</v>
      </c>
      <c r="AD49" s="285" t="e">
        <f>AD51/$D$49</f>
        <v>#DIV/0!</v>
      </c>
      <c r="AE49" s="285" t="e">
        <f t="shared" ref="AE49:AN49" si="84">AE51/$D$49</f>
        <v>#DIV/0!</v>
      </c>
      <c r="AF49" s="285" t="e">
        <f t="shared" si="84"/>
        <v>#DIV/0!</v>
      </c>
      <c r="AG49" s="285" t="e">
        <f t="shared" si="84"/>
        <v>#DIV/0!</v>
      </c>
      <c r="AH49" s="285" t="e">
        <f t="shared" si="84"/>
        <v>#DIV/0!</v>
      </c>
      <c r="AI49" s="285" t="e">
        <f t="shared" si="84"/>
        <v>#DIV/0!</v>
      </c>
      <c r="AJ49" s="285" t="e">
        <f t="shared" si="84"/>
        <v>#DIV/0!</v>
      </c>
      <c r="AK49" s="285" t="e">
        <f t="shared" si="84"/>
        <v>#DIV/0!</v>
      </c>
      <c r="AL49" s="285" t="e">
        <f t="shared" si="84"/>
        <v>#DIV/0!</v>
      </c>
      <c r="AM49" s="285" t="e">
        <f t="shared" si="84"/>
        <v>#DIV/0!</v>
      </c>
      <c r="AN49" s="285" t="e">
        <f t="shared" si="84"/>
        <v>#DIV/0!</v>
      </c>
      <c r="AO49" s="285" t="e">
        <f t="shared" si="82"/>
        <v>#DIV/0!</v>
      </c>
      <c r="AP49" s="285" t="e">
        <f t="shared" si="82"/>
        <v>#DIV/0!</v>
      </c>
      <c r="AQ49" s="285" t="e">
        <f t="shared" si="82"/>
        <v>#DIV/0!</v>
      </c>
      <c r="AR49" s="285" t="e">
        <f t="shared" si="82"/>
        <v>#DIV/0!</v>
      </c>
      <c r="AS49" s="285" t="e">
        <f t="shared" si="82"/>
        <v>#DIV/0!</v>
      </c>
      <c r="AT49" s="285" t="e">
        <f t="shared" si="82"/>
        <v>#DIV/0!</v>
      </c>
      <c r="AU49" s="285" t="e">
        <f t="shared" si="82"/>
        <v>#DIV/0!</v>
      </c>
      <c r="AV49" s="285" t="e">
        <f t="shared" si="82"/>
        <v>#DIV/0!</v>
      </c>
      <c r="AW49" s="285" t="e">
        <f t="shared" si="82"/>
        <v>#DIV/0!</v>
      </c>
      <c r="AX49" s="285" t="e">
        <f t="shared" si="82"/>
        <v>#DIV/0!</v>
      </c>
      <c r="AY49" s="285" t="e">
        <f t="shared" si="82"/>
        <v>#DIV/0!</v>
      </c>
      <c r="AZ49" s="285" t="e">
        <f t="shared" si="82"/>
        <v>#DIV/0!</v>
      </c>
      <c r="BA49" s="285" t="e">
        <f t="shared" si="82"/>
        <v>#DIV/0!</v>
      </c>
      <c r="BB49" s="285" t="e">
        <f t="shared" si="82"/>
        <v>#DIV/0!</v>
      </c>
      <c r="BC49" s="285" t="e">
        <f t="shared" si="82"/>
        <v>#DIV/0!</v>
      </c>
      <c r="BD49" s="285" t="e">
        <f t="shared" si="82"/>
        <v>#DIV/0!</v>
      </c>
      <c r="BE49" s="285" t="e">
        <f t="shared" ref="BE49:BH49" si="85">BE51/$D$49</f>
        <v>#DIV/0!</v>
      </c>
      <c r="BF49" s="285" t="e">
        <f t="shared" si="85"/>
        <v>#DIV/0!</v>
      </c>
      <c r="BG49" s="285" t="e">
        <f t="shared" si="85"/>
        <v>#DIV/0!</v>
      </c>
      <c r="BH49" s="285" t="e">
        <f t="shared" si="85"/>
        <v>#DIV/0!</v>
      </c>
      <c r="BI49" s="285" t="e">
        <f t="shared" si="82"/>
        <v>#DIV/0!</v>
      </c>
      <c r="BJ49" s="285" t="e">
        <f t="shared" si="82"/>
        <v>#DIV/0!</v>
      </c>
      <c r="BK49" s="285" t="e">
        <f t="shared" ref="BK49:BL49" si="86">BK51/$D$49</f>
        <v>#DIV/0!</v>
      </c>
      <c r="BL49" s="285" t="e">
        <f t="shared" si="86"/>
        <v>#DIV/0!</v>
      </c>
      <c r="BM49" s="28"/>
    </row>
    <row r="50" spans="1:65" ht="24.9" customHeight="1" x14ac:dyDescent="0.25">
      <c r="A50" s="399" t="s">
        <v>16</v>
      </c>
      <c r="B50" s="399"/>
      <c r="C50" s="399"/>
      <c r="D50" s="400"/>
      <c r="E50" s="285" t="e">
        <f>E49</f>
        <v>#DIV/0!</v>
      </c>
      <c r="F50" s="285" t="e">
        <f t="shared" ref="F50:P50" si="87">F49+E50</f>
        <v>#DIV/0!</v>
      </c>
      <c r="G50" s="285" t="e">
        <f t="shared" si="87"/>
        <v>#DIV/0!</v>
      </c>
      <c r="H50" s="285" t="e">
        <f t="shared" si="87"/>
        <v>#DIV/0!</v>
      </c>
      <c r="I50" s="285" t="e">
        <f t="shared" si="87"/>
        <v>#DIV/0!</v>
      </c>
      <c r="J50" s="285" t="e">
        <f t="shared" si="87"/>
        <v>#DIV/0!</v>
      </c>
      <c r="K50" s="285" t="e">
        <f t="shared" si="87"/>
        <v>#DIV/0!</v>
      </c>
      <c r="L50" s="285" t="e">
        <f t="shared" si="87"/>
        <v>#DIV/0!</v>
      </c>
      <c r="M50" s="285" t="e">
        <f t="shared" si="87"/>
        <v>#DIV/0!</v>
      </c>
      <c r="N50" s="285" t="e">
        <f t="shared" si="87"/>
        <v>#DIV/0!</v>
      </c>
      <c r="O50" s="285" t="e">
        <f t="shared" si="87"/>
        <v>#DIV/0!</v>
      </c>
      <c r="P50" s="285" t="e">
        <f t="shared" si="87"/>
        <v>#DIV/0!</v>
      </c>
      <c r="Q50" s="285" t="e">
        <f>P50+Q49</f>
        <v>#DIV/0!</v>
      </c>
      <c r="R50" s="285" t="e">
        <f>R49+Q50</f>
        <v>#DIV/0!</v>
      </c>
      <c r="S50" s="285" t="e">
        <f>S49+R50</f>
        <v>#DIV/0!</v>
      </c>
      <c r="T50" s="285" t="e">
        <f>T49+S50</f>
        <v>#DIV/0!</v>
      </c>
      <c r="U50" s="285" t="e">
        <f>U49+T50</f>
        <v>#DIV/0!</v>
      </c>
      <c r="V50" s="285" t="e">
        <f t="shared" ref="V50" si="88">V49+U50</f>
        <v>#DIV/0!</v>
      </c>
      <c r="W50" s="285" t="e">
        <f t="shared" ref="W50" si="89">W49+V50</f>
        <v>#DIV/0!</v>
      </c>
      <c r="X50" s="285" t="e">
        <f>X49+W50</f>
        <v>#DIV/0!</v>
      </c>
      <c r="Y50" s="285" t="e">
        <f t="shared" ref="Y50" si="90">Y49+X50</f>
        <v>#DIV/0!</v>
      </c>
      <c r="Z50" s="285" t="e">
        <f t="shared" ref="Z50" si="91">Z49+Y50</f>
        <v>#DIV/0!</v>
      </c>
      <c r="AA50" s="285" t="e">
        <f t="shared" ref="AA50" si="92">AA49+Z50</f>
        <v>#DIV/0!</v>
      </c>
      <c r="AB50" s="285" t="e">
        <f>AB49+AA50</f>
        <v>#DIV/0!</v>
      </c>
      <c r="AC50" s="285" t="e">
        <f>AB50+AC49</f>
        <v>#DIV/0!</v>
      </c>
      <c r="AD50" s="285" t="e">
        <f>AD49+AC50</f>
        <v>#DIV/0!</v>
      </c>
      <c r="AE50" s="285" t="e">
        <f>AE49+AD50</f>
        <v>#DIV/0!</v>
      </c>
      <c r="AF50" s="285" t="e">
        <f>AF49+AE50</f>
        <v>#DIV/0!</v>
      </c>
      <c r="AG50" s="285" t="e">
        <f>AG49+AF50</f>
        <v>#DIV/0!</v>
      </c>
      <c r="AH50" s="285" t="e">
        <f t="shared" ref="AH50" si="93">AH49+AG50</f>
        <v>#DIV/0!</v>
      </c>
      <c r="AI50" s="285" t="e">
        <f t="shared" ref="AI50" si="94">AI49+AH50</f>
        <v>#DIV/0!</v>
      </c>
      <c r="AJ50" s="285" t="e">
        <f>AJ49+AI50</f>
        <v>#DIV/0!</v>
      </c>
      <c r="AK50" s="285" t="e">
        <f t="shared" ref="AK50" si="95">AK49+AJ50</f>
        <v>#DIV/0!</v>
      </c>
      <c r="AL50" s="285" t="e">
        <f t="shared" ref="AL50" si="96">AL49+AK50</f>
        <v>#DIV/0!</v>
      </c>
      <c r="AM50" s="285" t="e">
        <f t="shared" ref="AM50" si="97">AM49+AL50</f>
        <v>#DIV/0!</v>
      </c>
      <c r="AN50" s="285" t="e">
        <f>AN49+AM50</f>
        <v>#DIV/0!</v>
      </c>
      <c r="AO50" s="285" t="e">
        <f>AB50+AO49</f>
        <v>#DIV/0!</v>
      </c>
      <c r="AP50" s="285" t="e">
        <f>AP49+AO50</f>
        <v>#DIV/0!</v>
      </c>
      <c r="AQ50" s="285" t="e">
        <f t="shared" ref="AQ50:AY50" si="98">AQ49+AP50</f>
        <v>#DIV/0!</v>
      </c>
      <c r="AR50" s="285" t="e">
        <f>AR49+AQ50</f>
        <v>#DIV/0!</v>
      </c>
      <c r="AS50" s="285" t="e">
        <f>AS49+AR50</f>
        <v>#DIV/0!</v>
      </c>
      <c r="AT50" s="285" t="e">
        <f>AT49+AS50</f>
        <v>#DIV/0!</v>
      </c>
      <c r="AU50" s="285" t="e">
        <f>AU49+AT50</f>
        <v>#DIV/0!</v>
      </c>
      <c r="AV50" s="285" t="e">
        <f>AV49+AU50</f>
        <v>#DIV/0!</v>
      </c>
      <c r="AW50" s="285" t="e">
        <f t="shared" si="98"/>
        <v>#DIV/0!</v>
      </c>
      <c r="AX50" s="285" t="e">
        <f t="shared" si="98"/>
        <v>#DIV/0!</v>
      </c>
      <c r="AY50" s="285" t="e">
        <f t="shared" si="98"/>
        <v>#DIV/0!</v>
      </c>
      <c r="AZ50" s="285" t="e">
        <f>AZ49+AY50</f>
        <v>#DIV/0!</v>
      </c>
      <c r="BA50" s="285" t="e">
        <f t="shared" ref="BA50:BL50" si="99">BA49+AO50</f>
        <v>#DIV/0!</v>
      </c>
      <c r="BB50" s="285" t="e">
        <f t="shared" si="99"/>
        <v>#DIV/0!</v>
      </c>
      <c r="BC50" s="285" t="e">
        <f t="shared" si="99"/>
        <v>#DIV/0!</v>
      </c>
      <c r="BD50" s="285" t="e">
        <f t="shared" si="99"/>
        <v>#DIV/0!</v>
      </c>
      <c r="BE50" s="285" t="e">
        <f t="shared" si="99"/>
        <v>#DIV/0!</v>
      </c>
      <c r="BF50" s="285" t="e">
        <f t="shared" si="99"/>
        <v>#DIV/0!</v>
      </c>
      <c r="BG50" s="285" t="e">
        <f t="shared" si="99"/>
        <v>#DIV/0!</v>
      </c>
      <c r="BH50" s="285" t="e">
        <f t="shared" si="99"/>
        <v>#DIV/0!</v>
      </c>
      <c r="BI50" s="285" t="e">
        <f t="shared" si="99"/>
        <v>#DIV/0!</v>
      </c>
      <c r="BJ50" s="285" t="e">
        <f t="shared" si="99"/>
        <v>#DIV/0!</v>
      </c>
      <c r="BK50" s="285" t="e">
        <f t="shared" si="99"/>
        <v>#DIV/0!</v>
      </c>
      <c r="BL50" s="285" t="e">
        <f t="shared" si="99"/>
        <v>#DIV/0!</v>
      </c>
      <c r="BM50" s="28"/>
    </row>
    <row r="51" spans="1:65" s="347" customFormat="1" ht="24.9" customHeight="1" x14ac:dyDescent="0.25">
      <c r="A51" s="401" t="s">
        <v>17</v>
      </c>
      <c r="B51" s="401"/>
      <c r="C51" s="401"/>
      <c r="D51" s="400"/>
      <c r="E51" s="345" t="e">
        <f t="shared" ref="E51:AJ51" si="100">SUM(E22,E18,E14,E10,E24,E28,E32,E36,E40,E44,E46,E48)</f>
        <v>#DIV/0!</v>
      </c>
      <c r="F51" s="345" t="e">
        <f t="shared" si="100"/>
        <v>#DIV/0!</v>
      </c>
      <c r="G51" s="345" t="e">
        <f t="shared" si="100"/>
        <v>#DIV/0!</v>
      </c>
      <c r="H51" s="345" t="e">
        <f t="shared" si="100"/>
        <v>#DIV/0!</v>
      </c>
      <c r="I51" s="345" t="e">
        <f t="shared" si="100"/>
        <v>#DIV/0!</v>
      </c>
      <c r="J51" s="345" t="e">
        <f t="shared" si="100"/>
        <v>#DIV/0!</v>
      </c>
      <c r="K51" s="345" t="e">
        <f t="shared" si="100"/>
        <v>#DIV/0!</v>
      </c>
      <c r="L51" s="345" t="e">
        <f t="shared" si="100"/>
        <v>#DIV/0!</v>
      </c>
      <c r="M51" s="345" t="e">
        <f t="shared" si="100"/>
        <v>#DIV/0!</v>
      </c>
      <c r="N51" s="345" t="e">
        <f t="shared" si="100"/>
        <v>#DIV/0!</v>
      </c>
      <c r="O51" s="345" t="e">
        <f t="shared" si="100"/>
        <v>#DIV/0!</v>
      </c>
      <c r="P51" s="345" t="e">
        <f t="shared" si="100"/>
        <v>#DIV/0!</v>
      </c>
      <c r="Q51" s="345" t="e">
        <f t="shared" si="100"/>
        <v>#DIV/0!</v>
      </c>
      <c r="R51" s="345" t="e">
        <f t="shared" si="100"/>
        <v>#DIV/0!</v>
      </c>
      <c r="S51" s="345" t="e">
        <f t="shared" si="100"/>
        <v>#DIV/0!</v>
      </c>
      <c r="T51" s="345" t="e">
        <f t="shared" si="100"/>
        <v>#DIV/0!</v>
      </c>
      <c r="U51" s="345" t="e">
        <f t="shared" si="100"/>
        <v>#DIV/0!</v>
      </c>
      <c r="V51" s="345" t="e">
        <f t="shared" si="100"/>
        <v>#DIV/0!</v>
      </c>
      <c r="W51" s="345" t="e">
        <f t="shared" si="100"/>
        <v>#DIV/0!</v>
      </c>
      <c r="X51" s="345" t="e">
        <f t="shared" si="100"/>
        <v>#DIV/0!</v>
      </c>
      <c r="Y51" s="345" t="e">
        <f t="shared" si="100"/>
        <v>#DIV/0!</v>
      </c>
      <c r="Z51" s="345" t="e">
        <f t="shared" si="100"/>
        <v>#DIV/0!</v>
      </c>
      <c r="AA51" s="345" t="e">
        <f t="shared" si="100"/>
        <v>#DIV/0!</v>
      </c>
      <c r="AB51" s="345" t="e">
        <f t="shared" si="100"/>
        <v>#DIV/0!</v>
      </c>
      <c r="AC51" s="345" t="e">
        <f t="shared" si="100"/>
        <v>#DIV/0!</v>
      </c>
      <c r="AD51" s="345" t="e">
        <f t="shared" si="100"/>
        <v>#DIV/0!</v>
      </c>
      <c r="AE51" s="345" t="e">
        <f t="shared" si="100"/>
        <v>#DIV/0!</v>
      </c>
      <c r="AF51" s="345" t="e">
        <f t="shared" si="100"/>
        <v>#DIV/0!</v>
      </c>
      <c r="AG51" s="345" t="e">
        <f t="shared" si="100"/>
        <v>#DIV/0!</v>
      </c>
      <c r="AH51" s="345" t="e">
        <f t="shared" si="100"/>
        <v>#DIV/0!</v>
      </c>
      <c r="AI51" s="345" t="e">
        <f t="shared" si="100"/>
        <v>#DIV/0!</v>
      </c>
      <c r="AJ51" s="345" t="e">
        <f t="shared" si="100"/>
        <v>#DIV/0!</v>
      </c>
      <c r="AK51" s="345" t="e">
        <f t="shared" ref="AK51:BL51" si="101">SUM(AK22,AK18,AK14,AK10,AK24,AK28,AK32,AK36,AK40,AK44,AK46,AK48)</f>
        <v>#DIV/0!</v>
      </c>
      <c r="AL51" s="345" t="e">
        <f t="shared" si="101"/>
        <v>#DIV/0!</v>
      </c>
      <c r="AM51" s="345" t="e">
        <f t="shared" si="101"/>
        <v>#DIV/0!</v>
      </c>
      <c r="AN51" s="345" t="e">
        <f t="shared" si="101"/>
        <v>#DIV/0!</v>
      </c>
      <c r="AO51" s="345" t="e">
        <f t="shared" si="101"/>
        <v>#DIV/0!</v>
      </c>
      <c r="AP51" s="345" t="e">
        <f t="shared" si="101"/>
        <v>#DIV/0!</v>
      </c>
      <c r="AQ51" s="345" t="e">
        <f t="shared" si="101"/>
        <v>#DIV/0!</v>
      </c>
      <c r="AR51" s="345" t="e">
        <f t="shared" si="101"/>
        <v>#DIV/0!</v>
      </c>
      <c r="AS51" s="345" t="e">
        <f t="shared" si="101"/>
        <v>#DIV/0!</v>
      </c>
      <c r="AT51" s="345" t="e">
        <f t="shared" si="101"/>
        <v>#DIV/0!</v>
      </c>
      <c r="AU51" s="345" t="e">
        <f t="shared" si="101"/>
        <v>#DIV/0!</v>
      </c>
      <c r="AV51" s="345" t="e">
        <f t="shared" si="101"/>
        <v>#DIV/0!</v>
      </c>
      <c r="AW51" s="345" t="e">
        <f t="shared" si="101"/>
        <v>#DIV/0!</v>
      </c>
      <c r="AX51" s="345" t="e">
        <f t="shared" si="101"/>
        <v>#DIV/0!</v>
      </c>
      <c r="AY51" s="345" t="e">
        <f t="shared" si="101"/>
        <v>#DIV/0!</v>
      </c>
      <c r="AZ51" s="345" t="e">
        <f t="shared" si="101"/>
        <v>#DIV/0!</v>
      </c>
      <c r="BA51" s="345" t="e">
        <f t="shared" si="101"/>
        <v>#DIV/0!</v>
      </c>
      <c r="BB51" s="345" t="e">
        <f t="shared" si="101"/>
        <v>#DIV/0!</v>
      </c>
      <c r="BC51" s="345" t="e">
        <f t="shared" si="101"/>
        <v>#DIV/0!</v>
      </c>
      <c r="BD51" s="345" t="e">
        <f t="shared" si="101"/>
        <v>#DIV/0!</v>
      </c>
      <c r="BE51" s="345" t="e">
        <f t="shared" si="101"/>
        <v>#DIV/0!</v>
      </c>
      <c r="BF51" s="345" t="e">
        <f t="shared" si="101"/>
        <v>#DIV/0!</v>
      </c>
      <c r="BG51" s="345" t="e">
        <f t="shared" si="101"/>
        <v>#DIV/0!</v>
      </c>
      <c r="BH51" s="345" t="e">
        <f t="shared" si="101"/>
        <v>#DIV/0!</v>
      </c>
      <c r="BI51" s="345" t="e">
        <f t="shared" si="101"/>
        <v>#DIV/0!</v>
      </c>
      <c r="BJ51" s="345" t="e">
        <f t="shared" si="101"/>
        <v>#DIV/0!</v>
      </c>
      <c r="BK51" s="345" t="e">
        <f t="shared" si="101"/>
        <v>#DIV/0!</v>
      </c>
      <c r="BL51" s="345" t="e">
        <f t="shared" si="101"/>
        <v>#DIV/0!</v>
      </c>
      <c r="BM51" s="346"/>
    </row>
    <row r="52" spans="1:65" s="347" customFormat="1" ht="24.9" customHeight="1" x14ac:dyDescent="0.25">
      <c r="A52" s="401" t="s">
        <v>18</v>
      </c>
      <c r="B52" s="401"/>
      <c r="C52" s="401"/>
      <c r="D52" s="400"/>
      <c r="E52" s="345" t="e">
        <f>E51</f>
        <v>#DIV/0!</v>
      </c>
      <c r="F52" s="345" t="e">
        <f>F51+E52</f>
        <v>#DIV/0!</v>
      </c>
      <c r="G52" s="345" t="e">
        <f t="shared" ref="G52:P52" si="102">G51+F52</f>
        <v>#DIV/0!</v>
      </c>
      <c r="H52" s="345" t="e">
        <f t="shared" si="102"/>
        <v>#DIV/0!</v>
      </c>
      <c r="I52" s="345" t="e">
        <f t="shared" si="102"/>
        <v>#DIV/0!</v>
      </c>
      <c r="J52" s="345" t="e">
        <f t="shared" si="102"/>
        <v>#DIV/0!</v>
      </c>
      <c r="K52" s="345" t="e">
        <f t="shared" si="102"/>
        <v>#DIV/0!</v>
      </c>
      <c r="L52" s="345" t="e">
        <f t="shared" si="102"/>
        <v>#DIV/0!</v>
      </c>
      <c r="M52" s="345" t="e">
        <f t="shared" si="102"/>
        <v>#DIV/0!</v>
      </c>
      <c r="N52" s="345" t="e">
        <f t="shared" si="102"/>
        <v>#DIV/0!</v>
      </c>
      <c r="O52" s="345" t="e">
        <f t="shared" si="102"/>
        <v>#DIV/0!</v>
      </c>
      <c r="P52" s="345" t="e">
        <f t="shared" si="102"/>
        <v>#DIV/0!</v>
      </c>
      <c r="Q52" s="345" t="e">
        <f t="shared" ref="Q52" si="103">Q51+P52</f>
        <v>#DIV/0!</v>
      </c>
      <c r="R52" s="345" t="e">
        <f t="shared" ref="R52" si="104">R51+Q52</f>
        <v>#DIV/0!</v>
      </c>
      <c r="S52" s="345" t="e">
        <f t="shared" ref="S52" si="105">S51+R52</f>
        <v>#DIV/0!</v>
      </c>
      <c r="T52" s="345" t="e">
        <f t="shared" ref="T52" si="106">T51+S52</f>
        <v>#DIV/0!</v>
      </c>
      <c r="U52" s="345" t="e">
        <f t="shared" ref="U52" si="107">U51+T52</f>
        <v>#DIV/0!</v>
      </c>
      <c r="V52" s="345" t="e">
        <f t="shared" ref="V52" si="108">V51+U52</f>
        <v>#DIV/0!</v>
      </c>
      <c r="W52" s="345" t="e">
        <f t="shared" ref="W52" si="109">W51+V52</f>
        <v>#DIV/0!</v>
      </c>
      <c r="X52" s="345" t="e">
        <f t="shared" ref="X52" si="110">X51+W52</f>
        <v>#DIV/0!</v>
      </c>
      <c r="Y52" s="345" t="e">
        <f t="shared" ref="Y52" si="111">Y51+X52</f>
        <v>#DIV/0!</v>
      </c>
      <c r="Z52" s="345" t="e">
        <f t="shared" ref="Z52" si="112">Z51+Y52</f>
        <v>#DIV/0!</v>
      </c>
      <c r="AA52" s="345" t="e">
        <f t="shared" ref="AA52" si="113">AA51+Z52</f>
        <v>#DIV/0!</v>
      </c>
      <c r="AB52" s="345" t="e">
        <f t="shared" ref="AB52" si="114">AB51+AA52</f>
        <v>#DIV/0!</v>
      </c>
      <c r="AC52" s="345" t="e">
        <f>AC51+AB52</f>
        <v>#DIV/0!</v>
      </c>
      <c r="AD52" s="345" t="e">
        <f t="shared" ref="AD52" si="115">AD51+AC52</f>
        <v>#DIV/0!</v>
      </c>
      <c r="AE52" s="345" t="e">
        <f t="shared" ref="AE52" si="116">AE51+AD52</f>
        <v>#DIV/0!</v>
      </c>
      <c r="AF52" s="345" t="e">
        <f t="shared" ref="AF52" si="117">AF51+AE52</f>
        <v>#DIV/0!</v>
      </c>
      <c r="AG52" s="345" t="e">
        <f t="shared" ref="AG52" si="118">AG51+AF52</f>
        <v>#DIV/0!</v>
      </c>
      <c r="AH52" s="345" t="e">
        <f t="shared" ref="AH52" si="119">AH51+AG52</f>
        <v>#DIV/0!</v>
      </c>
      <c r="AI52" s="345" t="e">
        <f t="shared" ref="AI52" si="120">AI51+AH52</f>
        <v>#DIV/0!</v>
      </c>
      <c r="AJ52" s="345" t="e">
        <f t="shared" ref="AJ52" si="121">AJ51+AI52</f>
        <v>#DIV/0!</v>
      </c>
      <c r="AK52" s="345" t="e">
        <f t="shared" ref="AK52" si="122">AK51+AJ52</f>
        <v>#DIV/0!</v>
      </c>
      <c r="AL52" s="345" t="e">
        <f t="shared" ref="AL52" si="123">AL51+AK52</f>
        <v>#DIV/0!</v>
      </c>
      <c r="AM52" s="345" t="e">
        <f t="shared" ref="AM52" si="124">AM51+AL52</f>
        <v>#DIV/0!</v>
      </c>
      <c r="AN52" s="345" t="e">
        <f>AN51+AM52</f>
        <v>#DIV/0!</v>
      </c>
      <c r="AO52" s="345" t="e">
        <f>AO51+AN52</f>
        <v>#DIV/0!</v>
      </c>
      <c r="AP52" s="345" t="e">
        <f>AP51+AO52</f>
        <v>#DIV/0!</v>
      </c>
      <c r="AQ52" s="345" t="e">
        <f t="shared" ref="AQ52:BL52" si="125">AQ51+AP52</f>
        <v>#DIV/0!</v>
      </c>
      <c r="AR52" s="345" t="e">
        <f t="shared" si="125"/>
        <v>#DIV/0!</v>
      </c>
      <c r="AS52" s="345" t="e">
        <f t="shared" si="125"/>
        <v>#DIV/0!</v>
      </c>
      <c r="AT52" s="345" t="e">
        <f t="shared" si="125"/>
        <v>#DIV/0!</v>
      </c>
      <c r="AU52" s="345" t="e">
        <f t="shared" si="125"/>
        <v>#DIV/0!</v>
      </c>
      <c r="AV52" s="345" t="e">
        <f t="shared" si="125"/>
        <v>#DIV/0!</v>
      </c>
      <c r="AW52" s="345" t="e">
        <f t="shared" si="125"/>
        <v>#DIV/0!</v>
      </c>
      <c r="AX52" s="345" t="e">
        <f t="shared" si="125"/>
        <v>#DIV/0!</v>
      </c>
      <c r="AY52" s="345" t="e">
        <f t="shared" si="125"/>
        <v>#DIV/0!</v>
      </c>
      <c r="AZ52" s="345" t="e">
        <f t="shared" si="125"/>
        <v>#DIV/0!</v>
      </c>
      <c r="BA52" s="345" t="e">
        <f t="shared" si="125"/>
        <v>#DIV/0!</v>
      </c>
      <c r="BB52" s="345" t="e">
        <f t="shared" si="125"/>
        <v>#DIV/0!</v>
      </c>
      <c r="BC52" s="345" t="e">
        <f t="shared" si="125"/>
        <v>#DIV/0!</v>
      </c>
      <c r="BD52" s="345" t="e">
        <f t="shared" si="125"/>
        <v>#DIV/0!</v>
      </c>
      <c r="BE52" s="345" t="e">
        <f t="shared" si="125"/>
        <v>#DIV/0!</v>
      </c>
      <c r="BF52" s="345" t="e">
        <f t="shared" si="125"/>
        <v>#DIV/0!</v>
      </c>
      <c r="BG52" s="345" t="e">
        <f t="shared" si="125"/>
        <v>#DIV/0!</v>
      </c>
      <c r="BH52" s="345" t="e">
        <f t="shared" si="125"/>
        <v>#DIV/0!</v>
      </c>
      <c r="BI52" s="345" t="e">
        <f t="shared" si="125"/>
        <v>#DIV/0!</v>
      </c>
      <c r="BJ52" s="345" t="e">
        <f t="shared" si="125"/>
        <v>#DIV/0!</v>
      </c>
      <c r="BK52" s="345" t="e">
        <f t="shared" si="125"/>
        <v>#DIV/0!</v>
      </c>
      <c r="BL52" s="345" t="e">
        <f t="shared" si="125"/>
        <v>#DIV/0!</v>
      </c>
      <c r="BM52" s="346"/>
    </row>
  </sheetData>
  <mergeCells count="68">
    <mergeCell ref="BA5:BL5"/>
    <mergeCell ref="A49:C49"/>
    <mergeCell ref="D49:D52"/>
    <mergeCell ref="A50:C50"/>
    <mergeCell ref="A51:C51"/>
    <mergeCell ref="A52:C52"/>
    <mergeCell ref="B25:B28"/>
    <mergeCell ref="B45:B46"/>
    <mergeCell ref="D45:D46"/>
    <mergeCell ref="A37:A40"/>
    <mergeCell ref="B37:B40"/>
    <mergeCell ref="D37:D40"/>
    <mergeCell ref="A33:A36"/>
    <mergeCell ref="B33:B36"/>
    <mergeCell ref="D33:D36"/>
    <mergeCell ref="A25:A28"/>
    <mergeCell ref="D25:D28"/>
    <mergeCell ref="A29:A32"/>
    <mergeCell ref="B29:B32"/>
    <mergeCell ref="D29:D32"/>
    <mergeCell ref="C34:C35"/>
    <mergeCell ref="C26:C27"/>
    <mergeCell ref="C30:C31"/>
    <mergeCell ref="C38:C39"/>
    <mergeCell ref="A47:A48"/>
    <mergeCell ref="B47:B48"/>
    <mergeCell ref="D47:D48"/>
    <mergeCell ref="A41:A44"/>
    <mergeCell ref="B41:B44"/>
    <mergeCell ref="D41:D44"/>
    <mergeCell ref="A45:A46"/>
    <mergeCell ref="B19:B22"/>
    <mergeCell ref="D19:D22"/>
    <mergeCell ref="A23:A24"/>
    <mergeCell ref="A11:A14"/>
    <mergeCell ref="B11:B14"/>
    <mergeCell ref="D11:D14"/>
    <mergeCell ref="C12:C13"/>
    <mergeCell ref="C16:C17"/>
    <mergeCell ref="C20:C21"/>
    <mergeCell ref="E1:P1"/>
    <mergeCell ref="AO1:AZ1"/>
    <mergeCell ref="D5:D6"/>
    <mergeCell ref="A3:D3"/>
    <mergeCell ref="Q1:AB1"/>
    <mergeCell ref="Q5:AB5"/>
    <mergeCell ref="Z4:AB4"/>
    <mergeCell ref="AX4:AZ4"/>
    <mergeCell ref="N4:P4"/>
    <mergeCell ref="AC1:AN1"/>
    <mergeCell ref="AL4:AN4"/>
    <mergeCell ref="AC5:AN5"/>
    <mergeCell ref="BJ4:BL4"/>
    <mergeCell ref="C42:C43"/>
    <mergeCell ref="A7:A10"/>
    <mergeCell ref="B7:B10"/>
    <mergeCell ref="D7:D10"/>
    <mergeCell ref="A5:A6"/>
    <mergeCell ref="B5:C6"/>
    <mergeCell ref="C8:C9"/>
    <mergeCell ref="E5:P5"/>
    <mergeCell ref="AO5:AZ5"/>
    <mergeCell ref="B23:B24"/>
    <mergeCell ref="D23:D24"/>
    <mergeCell ref="A15:A18"/>
    <mergeCell ref="B15:B18"/>
    <mergeCell ref="D15:D18"/>
    <mergeCell ref="A19:A22"/>
  </mergeCells>
  <phoneticPr fontId="29" type="noConversion"/>
  <conditionalFormatting sqref="E7:BM52">
    <cfRule type="cellIs" dxfId="0" priority="1" operator="equal">
      <formula>0</formula>
    </cfRule>
  </conditionalFormatting>
  <printOptions horizontalCentered="1" gridLines="1"/>
  <pageMargins left="0.51181102362204722" right="0.51181102362204722" top="0.87369791666666663" bottom="0.78740157480314965" header="0.31496062992125984" footer="0.31496062992125984"/>
  <pageSetup paperSize="9" scale="46" fitToWidth="2" fitToHeight="0" orientation="landscape" r:id="rId1"/>
  <headerFooter alignWithMargins="0">
    <oddHeader xml:space="preserve">&amp;L&amp;G&amp;C
</oddHeader>
    <oddFooter>&amp;RPrefeitura Municipal de Colatina
Travessa Avelino Guerra, 111, Sagrado Coração de Jesus
Telefone: (27) 3177-7000 | https://colatina.es.gov.br/</oddFooter>
  </headerFooter>
  <colBreaks count="4" manualBreakCount="4">
    <brk id="16" max="51" man="1"/>
    <brk id="28" max="51" man="1"/>
    <brk id="40" max="51" man="1"/>
    <brk id="52" max="51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J276"/>
  <sheetViews>
    <sheetView view="pageBreakPreview" zoomScaleNormal="100" zoomScaleSheetLayoutView="100" workbookViewId="0">
      <selection activeCell="F266" sqref="F266"/>
    </sheetView>
  </sheetViews>
  <sheetFormatPr defaultColWidth="8.88671875" defaultRowHeight="15.6" x14ac:dyDescent="0.3"/>
  <cols>
    <col min="1" max="1" width="8.33203125" style="30" bestFit="1" customWidth="1"/>
    <col min="2" max="2" width="8" style="30" bestFit="1" customWidth="1"/>
    <col min="3" max="3" width="58" style="30" customWidth="1"/>
    <col min="4" max="4" width="4.33203125" style="30" bestFit="1" customWidth="1"/>
    <col min="5" max="5" width="9.33203125" style="30" bestFit="1" customWidth="1"/>
    <col min="6" max="6" width="13.109375" style="30" customWidth="1"/>
    <col min="7" max="7" width="13.44140625" style="30" bestFit="1" customWidth="1"/>
    <col min="8" max="8" width="13.33203125" style="30" bestFit="1" customWidth="1"/>
    <col min="9" max="9" width="11.5546875" style="30" bestFit="1" customWidth="1"/>
    <col min="10" max="10" width="13.33203125" style="30" bestFit="1" customWidth="1"/>
    <col min="11" max="16384" width="8.88671875" style="30"/>
  </cols>
  <sheetData>
    <row r="1" spans="1:10" x14ac:dyDescent="0.3">
      <c r="A1" s="431"/>
      <c r="B1" s="431"/>
      <c r="C1" s="50" t="s">
        <v>764</v>
      </c>
      <c r="D1" s="50"/>
      <c r="E1" s="50"/>
      <c r="F1" s="50"/>
    </row>
    <row r="2" spans="1:10" x14ac:dyDescent="0.3">
      <c r="A2" s="431"/>
      <c r="B2" s="431"/>
      <c r="C2" s="31" t="s">
        <v>763</v>
      </c>
      <c r="D2" s="31"/>
      <c r="E2" s="31"/>
      <c r="F2" s="31"/>
    </row>
    <row r="3" spans="1:10" ht="6.6" customHeight="1" x14ac:dyDescent="0.3">
      <c r="A3" s="431"/>
      <c r="B3" s="431"/>
    </row>
    <row r="4" spans="1:10" x14ac:dyDescent="0.3">
      <c r="A4" s="431"/>
      <c r="B4" s="431"/>
      <c r="C4" s="32" t="s">
        <v>735</v>
      </c>
      <c r="D4" s="32"/>
      <c r="E4" s="32"/>
      <c r="F4" s="32"/>
      <c r="G4" s="32"/>
    </row>
    <row r="5" spans="1:10" x14ac:dyDescent="0.3">
      <c r="A5" s="431"/>
      <c r="B5" s="431"/>
      <c r="C5" s="30" t="s">
        <v>395</v>
      </c>
      <c r="H5" s="50"/>
      <c r="I5" s="50"/>
      <c r="J5" s="50"/>
    </row>
    <row r="6" spans="1:10" s="53" customFormat="1" x14ac:dyDescent="0.25">
      <c r="A6" s="239" t="s">
        <v>319</v>
      </c>
      <c r="B6" s="239" t="s">
        <v>320</v>
      </c>
      <c r="C6" s="432" t="s">
        <v>321</v>
      </c>
      <c r="D6" s="433"/>
      <c r="E6" s="240" t="s">
        <v>329</v>
      </c>
      <c r="F6" s="240" t="s">
        <v>396</v>
      </c>
      <c r="G6" s="240" t="s">
        <v>330</v>
      </c>
      <c r="H6" s="51"/>
      <c r="J6" s="51"/>
    </row>
    <row r="7" spans="1:10" s="44" customFormat="1" ht="14.4" x14ac:dyDescent="0.3">
      <c r="A7" s="154" t="s">
        <v>269</v>
      </c>
      <c r="B7" s="154"/>
      <c r="C7" s="429" t="str">
        <f>VLOOKUP(A7,'Planilha Orçamentária'!$B$6:$E$17,3,FALSE)</f>
        <v>Auto de Demarcação Urbanística</v>
      </c>
      <c r="D7" s="430"/>
      <c r="E7" s="154" t="str">
        <f>VLOOKUP(A7,'Planilha Orçamentária'!$B$6:$E$17,4,FALSE)</f>
        <v>und</v>
      </c>
      <c r="F7" s="155">
        <f>G24</f>
        <v>0</v>
      </c>
      <c r="G7" s="155">
        <f>G25</f>
        <v>0</v>
      </c>
      <c r="H7" s="54"/>
      <c r="I7" s="140"/>
      <c r="J7" s="54"/>
    </row>
    <row r="8" spans="1:10" s="44" customFormat="1" ht="13.8" x14ac:dyDescent="0.25">
      <c r="A8" s="423"/>
      <c r="B8" s="424"/>
      <c r="C8" s="424"/>
      <c r="D8" s="424"/>
      <c r="E8" s="424"/>
      <c r="F8" s="424"/>
      <c r="G8" s="425"/>
      <c r="H8"/>
      <c r="I8" s="38"/>
      <c r="J8" s="60"/>
    </row>
    <row r="9" spans="1:10" s="89" customFormat="1" ht="13.8" x14ac:dyDescent="0.25">
      <c r="A9" s="5" t="s">
        <v>50</v>
      </c>
      <c r="B9" s="5" t="s">
        <v>324</v>
      </c>
      <c r="C9" s="5" t="s">
        <v>325</v>
      </c>
      <c r="D9" s="5" t="s">
        <v>326</v>
      </c>
      <c r="E9" s="5" t="s">
        <v>280</v>
      </c>
      <c r="F9" s="5" t="s">
        <v>327</v>
      </c>
      <c r="G9" s="5" t="s">
        <v>328</v>
      </c>
    </row>
    <row r="10" spans="1:10" s="89" customFormat="1" ht="13.8" x14ac:dyDescent="0.25">
      <c r="A10" s="86">
        <v>20028</v>
      </c>
      <c r="B10" s="86" t="s">
        <v>54</v>
      </c>
      <c r="C10" s="91" t="str">
        <f>IF(A10="","",VLOOKUP(A10,'CPU-Insumos_MO'!$B$8:$G$24,2,FALSE))</f>
        <v>Advogado</v>
      </c>
      <c r="D10" s="88" t="str">
        <f>IF(A10="","",VLOOKUP(A10,'CPU-Insumos_MO'!$B$8:$G$24,5,FALSE))</f>
        <v>h</v>
      </c>
      <c r="E10" s="90">
        <f>MC_CPU.001!C8</f>
        <v>40</v>
      </c>
      <c r="F10" s="88"/>
      <c r="G10" s="92">
        <f>F10*E10</f>
        <v>0</v>
      </c>
    </row>
    <row r="11" spans="1:10" s="89" customFormat="1" ht="13.8" x14ac:dyDescent="0.25">
      <c r="A11" s="86">
        <v>7592</v>
      </c>
      <c r="B11" s="86" t="s">
        <v>55</v>
      </c>
      <c r="C11" s="91" t="str">
        <f>IF(A11="","",VLOOKUP(A11,'CPU-Insumos_MO'!$B$8:$G$24,2,FALSE))</f>
        <v>Topógrafo (Horista)</v>
      </c>
      <c r="D11" s="88" t="str">
        <f>IF(A11="","",VLOOKUP(A11,'CPU-Insumos_MO'!$B$8:$G$24,5,FALSE))</f>
        <v>h</v>
      </c>
      <c r="E11" s="90">
        <f>MC_CPU.001!C13</f>
        <v>40</v>
      </c>
      <c r="F11" s="88"/>
      <c r="G11" s="92">
        <f>F11*E11</f>
        <v>0</v>
      </c>
      <c r="J11"/>
    </row>
    <row r="12" spans="1:10" s="89" customFormat="1" ht="13.8" x14ac:dyDescent="0.25">
      <c r="A12" s="86">
        <v>244</v>
      </c>
      <c r="B12" s="86" t="s">
        <v>55</v>
      </c>
      <c r="C12" s="91" t="str">
        <f>IF(A12="","",VLOOKUP(A12,'CPU-Insumos_MO'!$B$8:$G$24,2,FALSE))</f>
        <v>Auxiliar de Topógrafo (Horista)</v>
      </c>
      <c r="D12" s="88" t="str">
        <f>IF(A12="","",VLOOKUP(A12,'CPU-Insumos_MO'!$B$8:$G$24,5,FALSE))</f>
        <v>h</v>
      </c>
      <c r="E12" s="90">
        <f>MC_CPU.001!C16</f>
        <v>16</v>
      </c>
      <c r="F12" s="88"/>
      <c r="G12" s="92">
        <f>F12*E12</f>
        <v>0</v>
      </c>
    </row>
    <row r="13" spans="1:10" s="89" customFormat="1" ht="13.8" x14ac:dyDescent="0.25">
      <c r="A13" s="405" t="s">
        <v>332</v>
      </c>
      <c r="B13" s="406"/>
      <c r="C13" s="406"/>
      <c r="D13" s="406"/>
      <c r="E13" s="406"/>
      <c r="F13" s="407"/>
      <c r="G13" s="93">
        <f>SUM(G10:G12)</f>
        <v>0</v>
      </c>
      <c r="H13"/>
      <c r="J13"/>
    </row>
    <row r="14" spans="1:10" s="89" customFormat="1" ht="13.8" x14ac:dyDescent="0.25">
      <c r="A14" s="369"/>
      <c r="B14" s="370"/>
      <c r="C14" s="370"/>
      <c r="D14" s="370"/>
      <c r="E14" s="370"/>
      <c r="F14" s="370"/>
      <c r="G14" s="371"/>
    </row>
    <row r="15" spans="1:10" s="89" customFormat="1" ht="13.8" x14ac:dyDescent="0.25">
      <c r="A15" s="5" t="s">
        <v>50</v>
      </c>
      <c r="B15" s="5" t="s">
        <v>324</v>
      </c>
      <c r="C15" s="5" t="s">
        <v>397</v>
      </c>
      <c r="D15" s="5" t="s">
        <v>326</v>
      </c>
      <c r="E15" s="5" t="s">
        <v>280</v>
      </c>
      <c r="F15" s="5" t="s">
        <v>327</v>
      </c>
      <c r="G15" s="5" t="s">
        <v>426</v>
      </c>
    </row>
    <row r="16" spans="1:10" s="89" customFormat="1" ht="13.8" x14ac:dyDescent="0.25">
      <c r="A16" s="86">
        <v>10587</v>
      </c>
      <c r="B16" s="86" t="s">
        <v>54</v>
      </c>
      <c r="C16" s="87" t="str">
        <f>IF(A16="","",VLOOKUP(A16,'CPU-Insumos_DD'!$B$8:$E$18,2,FALSE))</f>
        <v>Aluguel mensal de instrumento de topografia ( Estação Total )</v>
      </c>
      <c r="D16" s="88" t="str">
        <f>IF(A16="","",VLOOKUP(A16,'CPU-Insumos_DD'!$B$8:$E$18,3,FALSE))</f>
        <v>mês</v>
      </c>
      <c r="E16" s="90">
        <f>MC_CPU.001!C18/(22*8)</f>
        <v>9.0909090909090912E-2</v>
      </c>
      <c r="F16" s="88"/>
      <c r="G16" s="92">
        <f>F16*E16</f>
        <v>0</v>
      </c>
    </row>
    <row r="17" spans="1:7" x14ac:dyDescent="0.3">
      <c r="A17" s="405" t="s">
        <v>333</v>
      </c>
      <c r="B17" s="406"/>
      <c r="C17" s="406"/>
      <c r="D17" s="406"/>
      <c r="E17" s="406"/>
      <c r="F17" s="407"/>
      <c r="G17" s="94">
        <f>TRUNC(SUM(G16:G16),2)</f>
        <v>0</v>
      </c>
    </row>
    <row r="18" spans="1:7" s="85" customFormat="1" ht="13.8" x14ac:dyDescent="0.3">
      <c r="A18" s="408"/>
      <c r="B18" s="409"/>
      <c r="C18" s="409"/>
      <c r="D18" s="409"/>
      <c r="E18" s="409"/>
      <c r="F18" s="409"/>
      <c r="G18" s="410"/>
    </row>
    <row r="19" spans="1:7" x14ac:dyDescent="0.3">
      <c r="A19" s="411" t="s">
        <v>349</v>
      </c>
      <c r="B19" s="412"/>
      <c r="C19" s="412"/>
      <c r="D19" s="413"/>
      <c r="E19" s="411" t="s">
        <v>398</v>
      </c>
      <c r="F19" s="412"/>
      <c r="G19" s="413"/>
    </row>
    <row r="20" spans="1:7" s="44" customFormat="1" ht="13.8" x14ac:dyDescent="0.25">
      <c r="A20" s="414"/>
      <c r="B20" s="415"/>
      <c r="C20" s="415"/>
      <c r="D20" s="416"/>
      <c r="E20" s="90" t="s">
        <v>399</v>
      </c>
      <c r="F20" s="143" t="s">
        <v>406</v>
      </c>
      <c r="G20" s="92">
        <f>G13</f>
        <v>0</v>
      </c>
    </row>
    <row r="21" spans="1:7" s="44" customFormat="1" ht="13.8" x14ac:dyDescent="0.25">
      <c r="A21" s="417"/>
      <c r="B21" s="418"/>
      <c r="C21" s="418"/>
      <c r="D21" s="419"/>
      <c r="E21" s="138" t="s">
        <v>400</v>
      </c>
      <c r="F21" s="144" t="s">
        <v>407</v>
      </c>
      <c r="G21" s="139">
        <f>G17</f>
        <v>0</v>
      </c>
    </row>
    <row r="22" spans="1:7" s="44" customFormat="1" ht="13.8" x14ac:dyDescent="0.25">
      <c r="A22" s="417"/>
      <c r="B22" s="418"/>
      <c r="C22" s="418"/>
      <c r="D22" s="419"/>
      <c r="E22" s="6" t="s">
        <v>401</v>
      </c>
      <c r="F22" s="145" t="s">
        <v>410</v>
      </c>
      <c r="G22" s="146">
        <f>FATOR_K!$E$12</f>
        <v>1.9967159277504105</v>
      </c>
    </row>
    <row r="23" spans="1:7" s="44" customFormat="1" ht="13.2" customHeight="1" x14ac:dyDescent="0.25">
      <c r="A23" s="417"/>
      <c r="B23" s="418"/>
      <c r="C23" s="418"/>
      <c r="D23" s="419"/>
      <c r="E23" s="6" t="s">
        <v>402</v>
      </c>
      <c r="F23" s="145" t="s">
        <v>411</v>
      </c>
      <c r="G23" s="147">
        <f>FATOR_K!$E$13</f>
        <v>1.0946907498631637</v>
      </c>
    </row>
    <row r="24" spans="1:7" s="44" customFormat="1" ht="14.4" x14ac:dyDescent="0.3">
      <c r="A24" s="417"/>
      <c r="B24" s="418"/>
      <c r="C24" s="418"/>
      <c r="D24" s="419"/>
      <c r="E24" s="148" t="s">
        <v>403</v>
      </c>
      <c r="F24" s="149" t="s">
        <v>408</v>
      </c>
      <c r="G24" s="150">
        <f>ROUND(SUM(G20:G21),2)</f>
        <v>0</v>
      </c>
    </row>
    <row r="25" spans="1:7" s="44" customFormat="1" ht="13.8" x14ac:dyDescent="0.25">
      <c r="A25" s="420"/>
      <c r="B25" s="421"/>
      <c r="C25" s="421"/>
      <c r="D25" s="422"/>
      <c r="E25" s="83" t="s">
        <v>404</v>
      </c>
      <c r="F25" s="141" t="s">
        <v>405</v>
      </c>
      <c r="G25" s="142">
        <f>ROUND((G20*G22)+(G21*G23),2)</f>
        <v>0</v>
      </c>
    </row>
    <row r="26" spans="1:7" ht="6" customHeight="1" x14ac:dyDescent="0.3">
      <c r="A26" s="402"/>
      <c r="B26" s="403"/>
      <c r="C26" s="403"/>
      <c r="D26" s="403"/>
      <c r="E26" s="403"/>
      <c r="F26" s="403"/>
      <c r="G26" s="404"/>
    </row>
    <row r="27" spans="1:7" x14ac:dyDescent="0.3">
      <c r="A27" s="423"/>
      <c r="B27" s="424"/>
      <c r="C27" s="424"/>
      <c r="D27" s="424"/>
      <c r="E27" s="424"/>
      <c r="F27" s="424"/>
      <c r="G27" s="425"/>
    </row>
    <row r="28" spans="1:7" x14ac:dyDescent="0.3">
      <c r="A28" s="154" t="s">
        <v>270</v>
      </c>
      <c r="B28" s="154"/>
      <c r="C28" s="429" t="str">
        <f>VLOOKUP(A28,'Planilha Orçamentária'!$B$6:$E$17,3,FALSE)</f>
        <v>Mobilização Comunitária Inicial</v>
      </c>
      <c r="D28" s="430"/>
      <c r="E28" s="154" t="str">
        <f>VLOOKUP(A28,'Planilha Orçamentária'!$B$6:$E$17,4,FALSE)</f>
        <v>und</v>
      </c>
      <c r="F28" s="155">
        <f>G48</f>
        <v>0</v>
      </c>
      <c r="G28" s="155">
        <f>G49</f>
        <v>0</v>
      </c>
    </row>
    <row r="29" spans="1:7" x14ac:dyDescent="0.3">
      <c r="A29" s="423"/>
      <c r="B29" s="424"/>
      <c r="C29" s="424"/>
      <c r="D29" s="424"/>
      <c r="E29" s="424"/>
      <c r="F29" s="424"/>
      <c r="G29" s="425"/>
    </row>
    <row r="30" spans="1:7" x14ac:dyDescent="0.3">
      <c r="A30" s="5" t="s">
        <v>50</v>
      </c>
      <c r="B30" s="5" t="s">
        <v>324</v>
      </c>
      <c r="C30" s="5" t="s">
        <v>325</v>
      </c>
      <c r="D30" s="5" t="s">
        <v>326</v>
      </c>
      <c r="E30" s="5" t="s">
        <v>280</v>
      </c>
      <c r="F30" s="5" t="s">
        <v>327</v>
      </c>
      <c r="G30" s="5" t="s">
        <v>328</v>
      </c>
    </row>
    <row r="31" spans="1:7" x14ac:dyDescent="0.3">
      <c r="A31" s="86">
        <v>103584</v>
      </c>
      <c r="B31" s="86" t="s">
        <v>54</v>
      </c>
      <c r="C31" s="91" t="str">
        <f>IF(A31="","",VLOOKUP(A31,'CPU-Insumos_MO'!$B$8:$G$24,2,FALSE))</f>
        <v>Assistente Social (Pleno)</v>
      </c>
      <c r="D31" s="88" t="str">
        <f>IF(A31="","",VLOOKUP(A31,'CPU-Insumos_MO'!$B$8:$G$24,5,FALSE))</f>
        <v>h</v>
      </c>
      <c r="E31" s="90">
        <f>MC_CPU.002!C7</f>
        <v>20</v>
      </c>
      <c r="F31" s="88"/>
      <c r="G31" s="92">
        <f>F31*E31</f>
        <v>0</v>
      </c>
    </row>
    <row r="32" spans="1:7" x14ac:dyDescent="0.3">
      <c r="A32" s="86">
        <v>20028</v>
      </c>
      <c r="B32" s="86" t="s">
        <v>54</v>
      </c>
      <c r="C32" s="91" t="str">
        <f>IF(A32="","",VLOOKUP(A32,'CPU-Insumos_MO'!$B$8:$G$24,2,FALSE))</f>
        <v>Advogado</v>
      </c>
      <c r="D32" s="88" t="str">
        <f>IF(A32="","",VLOOKUP(A32,'CPU-Insumos_MO'!$B$8:$G$24,5,FALSE))</f>
        <v>h</v>
      </c>
      <c r="E32" s="90">
        <f>MC_CPU.002!C10</f>
        <v>20</v>
      </c>
      <c r="F32" s="88"/>
      <c r="G32" s="92">
        <f>F32*E32</f>
        <v>0</v>
      </c>
    </row>
    <row r="33" spans="1:7" x14ac:dyDescent="0.3">
      <c r="A33" s="86">
        <v>20031</v>
      </c>
      <c r="B33" s="86" t="s">
        <v>54</v>
      </c>
      <c r="C33" s="91" t="str">
        <f>IF(A33="","",VLOOKUP(A33,'CPU-Insumos_MO'!$B$8:$G$24,2,FALSE))</f>
        <v>Auxiliar Técnico</v>
      </c>
      <c r="D33" s="88" t="str">
        <f>IF(A33="","",VLOOKUP(A33,'CPU-Insumos_MO'!$B$8:$G$24,5,FALSE))</f>
        <v>h</v>
      </c>
      <c r="E33" s="90">
        <f>MC_CPU.002!C13</f>
        <v>24</v>
      </c>
      <c r="F33" s="88"/>
      <c r="G33" s="92">
        <f>F33*E33</f>
        <v>0</v>
      </c>
    </row>
    <row r="34" spans="1:7" x14ac:dyDescent="0.3">
      <c r="A34" s="405" t="s">
        <v>332</v>
      </c>
      <c r="B34" s="406"/>
      <c r="C34" s="406"/>
      <c r="D34" s="406"/>
      <c r="E34" s="406"/>
      <c r="F34" s="407"/>
      <c r="G34" s="93">
        <f>SUM(G31:G33)</f>
        <v>0</v>
      </c>
    </row>
    <row r="35" spans="1:7" x14ac:dyDescent="0.3">
      <c r="A35" s="369"/>
      <c r="B35" s="370"/>
      <c r="C35" s="370"/>
      <c r="D35" s="370"/>
      <c r="E35" s="370"/>
      <c r="F35" s="370"/>
      <c r="G35" s="371"/>
    </row>
    <row r="36" spans="1:7" x14ac:dyDescent="0.3">
      <c r="A36" s="5" t="s">
        <v>50</v>
      </c>
      <c r="B36" s="5" t="s">
        <v>324</v>
      </c>
      <c r="C36" s="5" t="s">
        <v>397</v>
      </c>
      <c r="D36" s="5" t="s">
        <v>326</v>
      </c>
      <c r="E36" s="5" t="s">
        <v>280</v>
      </c>
      <c r="F36" s="5" t="s">
        <v>327</v>
      </c>
      <c r="G36" s="5" t="s">
        <v>426</v>
      </c>
    </row>
    <row r="37" spans="1:7" ht="27.6" x14ac:dyDescent="0.3">
      <c r="A37" s="86" t="s">
        <v>727</v>
      </c>
      <c r="B37" s="86" t="s">
        <v>778</v>
      </c>
      <c r="C37" s="87" t="str">
        <f>IF(A37="","",VLOOKUP(A37,'CPU-Insumos_DD'!$B$8:$E$18,2,FALSE))</f>
        <v>Banner 100 x 70 cm, folha em lona, brilho gramatura mínima 440g/m² com 4 x 0 cores</v>
      </c>
      <c r="D37" s="88" t="str">
        <f>IF(A37="","",VLOOKUP(A37,'CPU-Insumos_DD'!$B$8:$E$18,3,FALSE))</f>
        <v>und</v>
      </c>
      <c r="E37" s="90">
        <f>MC_CPU.002!C18</f>
        <v>1</v>
      </c>
      <c r="F37" s="88"/>
      <c r="G37" s="92">
        <f>F37*E37</f>
        <v>0</v>
      </c>
    </row>
    <row r="38" spans="1:7" ht="27.6" x14ac:dyDescent="0.3">
      <c r="A38" s="86" t="s">
        <v>728</v>
      </c>
      <c r="B38" s="86" t="s">
        <v>778</v>
      </c>
      <c r="C38" s="87" t="str">
        <f>IF(A38="","",VLOOKUP(A38,'CPU-Insumos_DD'!$B$8:$E$18,2,FALSE))</f>
        <v>Cartaz dim. 42x29,7cm, 4x0 cores, Tinta Escala em Off-set gramatura mínima  90g/m²</v>
      </c>
      <c r="D38" s="88" t="str">
        <f>IF(A38="","",VLOOKUP(A38,'CPU-Insumos_DD'!$B$8:$E$18,3,FALSE))</f>
        <v>und</v>
      </c>
      <c r="E38" s="90">
        <f>MC_CPU.002!C16</f>
        <v>20</v>
      </c>
      <c r="F38" s="88"/>
      <c r="G38" s="92">
        <f t="shared" ref="G38:G40" si="0">F38*E38</f>
        <v>0</v>
      </c>
    </row>
    <row r="39" spans="1:7" ht="27.6" x14ac:dyDescent="0.3">
      <c r="A39" s="86" t="s">
        <v>729</v>
      </c>
      <c r="B39" s="86" t="s">
        <v>778</v>
      </c>
      <c r="C39" s="87" t="str">
        <f>IF(A39="","",VLOOKUP(A39,'CPU-Insumos_DD'!$B$8:$E$18,2,FALSE))</f>
        <v>Folder dim. 21 cm x 29,7 cm – 4/4 cores tinta média em offset gramatura mínima 90g/m²</v>
      </c>
      <c r="D39" s="88" t="str">
        <f>IF(A39="","",VLOOKUP(A39,'CPU-Insumos_DD'!$B$8:$E$18,3,FALSE))</f>
        <v>und</v>
      </c>
      <c r="E39" s="90">
        <f>MC_CPU.002!C17</f>
        <v>880</v>
      </c>
      <c r="F39" s="88"/>
      <c r="G39" s="92">
        <f t="shared" si="0"/>
        <v>0</v>
      </c>
    </row>
    <row r="40" spans="1:7" x14ac:dyDescent="0.3">
      <c r="A40" s="86" t="s">
        <v>731</v>
      </c>
      <c r="B40" s="86" t="s">
        <v>778</v>
      </c>
      <c r="C40" s="87" t="str">
        <f>IF(A40="","",VLOOKUP(A40,'CPU-Insumos_DD'!$B$8:$E$18,2,FALSE))</f>
        <v>Datashow (depreciação)</v>
      </c>
      <c r="D40" s="88" t="str">
        <f>IF(A40="","",VLOOKUP(A40,'CPU-Insumos_DD'!$B$8:$E$18,3,FALSE))</f>
        <v>dia</v>
      </c>
      <c r="E40" s="90">
        <f>MC_CPU.002!C19</f>
        <v>1</v>
      </c>
      <c r="F40" s="88"/>
      <c r="G40" s="92">
        <f t="shared" si="0"/>
        <v>0</v>
      </c>
    </row>
    <row r="41" spans="1:7" x14ac:dyDescent="0.3">
      <c r="A41" s="405" t="s">
        <v>333</v>
      </c>
      <c r="B41" s="406"/>
      <c r="C41" s="406"/>
      <c r="D41" s="406"/>
      <c r="E41" s="406"/>
      <c r="F41" s="407"/>
      <c r="G41" s="94">
        <f>TRUNC(SUM(G37:G40),2)</f>
        <v>0</v>
      </c>
    </row>
    <row r="42" spans="1:7" x14ac:dyDescent="0.3">
      <c r="A42" s="408"/>
      <c r="B42" s="409"/>
      <c r="C42" s="409"/>
      <c r="D42" s="409"/>
      <c r="E42" s="409"/>
      <c r="F42" s="409"/>
      <c r="G42" s="410"/>
    </row>
    <row r="43" spans="1:7" x14ac:dyDescent="0.3">
      <c r="A43" s="411" t="s">
        <v>349</v>
      </c>
      <c r="B43" s="412"/>
      <c r="C43" s="412"/>
      <c r="D43" s="413"/>
      <c r="E43" s="411" t="s">
        <v>398</v>
      </c>
      <c r="F43" s="412"/>
      <c r="G43" s="413"/>
    </row>
    <row r="44" spans="1:7" x14ac:dyDescent="0.3">
      <c r="A44" s="414"/>
      <c r="B44" s="415"/>
      <c r="C44" s="415"/>
      <c r="D44" s="416"/>
      <c r="E44" s="90" t="s">
        <v>399</v>
      </c>
      <c r="F44" s="143" t="s">
        <v>406</v>
      </c>
      <c r="G44" s="92">
        <f>G34</f>
        <v>0</v>
      </c>
    </row>
    <row r="45" spans="1:7" x14ac:dyDescent="0.3">
      <c r="A45" s="417"/>
      <c r="B45" s="418"/>
      <c r="C45" s="418"/>
      <c r="D45" s="419"/>
      <c r="E45" s="138" t="s">
        <v>400</v>
      </c>
      <c r="F45" s="144" t="s">
        <v>407</v>
      </c>
      <c r="G45" s="139">
        <f>G41</f>
        <v>0</v>
      </c>
    </row>
    <row r="46" spans="1:7" x14ac:dyDescent="0.3">
      <c r="A46" s="417"/>
      <c r="B46" s="418"/>
      <c r="C46" s="418"/>
      <c r="D46" s="419"/>
      <c r="E46" s="6" t="s">
        <v>401</v>
      </c>
      <c r="F46" s="145" t="s">
        <v>410</v>
      </c>
      <c r="G46" s="146">
        <f>FATOR_K!$E$12</f>
        <v>1.9967159277504105</v>
      </c>
    </row>
    <row r="47" spans="1:7" x14ac:dyDescent="0.3">
      <c r="A47" s="417"/>
      <c r="B47" s="418"/>
      <c r="C47" s="418"/>
      <c r="D47" s="419"/>
      <c r="E47" s="6" t="s">
        <v>402</v>
      </c>
      <c r="F47" s="145" t="s">
        <v>411</v>
      </c>
      <c r="G47" s="147">
        <f>FATOR_K!$E$13</f>
        <v>1.0946907498631637</v>
      </c>
    </row>
    <row r="48" spans="1:7" x14ac:dyDescent="0.3">
      <c r="A48" s="417"/>
      <c r="B48" s="418"/>
      <c r="C48" s="418"/>
      <c r="D48" s="419"/>
      <c r="E48" s="148" t="s">
        <v>403</v>
      </c>
      <c r="F48" s="149" t="s">
        <v>408</v>
      </c>
      <c r="G48" s="150">
        <f>ROUND(SUM(G44:G45),2)</f>
        <v>0</v>
      </c>
    </row>
    <row r="49" spans="1:7" x14ac:dyDescent="0.3">
      <c r="A49" s="420"/>
      <c r="B49" s="421"/>
      <c r="C49" s="421"/>
      <c r="D49" s="422"/>
      <c r="E49" s="83" t="s">
        <v>404</v>
      </c>
      <c r="F49" s="141" t="s">
        <v>405</v>
      </c>
      <c r="G49" s="142">
        <f>ROUND((G44*G46)+(G45*G47),2)</f>
        <v>0</v>
      </c>
    </row>
    <row r="50" spans="1:7" ht="6" customHeight="1" x14ac:dyDescent="0.3">
      <c r="A50" s="402"/>
      <c r="B50" s="403"/>
      <c r="C50" s="403"/>
      <c r="D50" s="403"/>
      <c r="E50" s="403"/>
      <c r="F50" s="403"/>
      <c r="G50" s="404"/>
    </row>
    <row r="51" spans="1:7" x14ac:dyDescent="0.3">
      <c r="A51" s="423"/>
      <c r="B51" s="424"/>
      <c r="C51" s="424"/>
      <c r="D51" s="424"/>
      <c r="E51" s="424"/>
      <c r="F51" s="424"/>
      <c r="G51" s="425"/>
    </row>
    <row r="52" spans="1:7" x14ac:dyDescent="0.3">
      <c r="A52" s="154" t="s">
        <v>271</v>
      </c>
      <c r="B52" s="154"/>
      <c r="C52" s="429" t="str">
        <f>VLOOKUP(A52,'Planilha Orçamentária'!$B$6:$E$17,3,FALSE)</f>
        <v>Mobilização Comunitária - Apresentação do Projeto Urbanístico</v>
      </c>
      <c r="D52" s="430"/>
      <c r="E52" s="154" t="str">
        <f>VLOOKUP(A52,'Planilha Orçamentária'!$B$6:$E$17,4,FALSE)</f>
        <v>und</v>
      </c>
      <c r="F52" s="155">
        <f>G72</f>
        <v>0</v>
      </c>
      <c r="G52" s="155">
        <f>G73</f>
        <v>0</v>
      </c>
    </row>
    <row r="53" spans="1:7" x14ac:dyDescent="0.3">
      <c r="A53" s="423"/>
      <c r="B53" s="424"/>
      <c r="C53" s="424"/>
      <c r="D53" s="424"/>
      <c r="E53" s="424"/>
      <c r="F53" s="424"/>
      <c r="G53" s="425"/>
    </row>
    <row r="54" spans="1:7" x14ac:dyDescent="0.3">
      <c r="A54" s="5" t="s">
        <v>50</v>
      </c>
      <c r="B54" s="5" t="s">
        <v>324</v>
      </c>
      <c r="C54" s="5" t="s">
        <v>325</v>
      </c>
      <c r="D54" s="5" t="s">
        <v>326</v>
      </c>
      <c r="E54" s="5" t="s">
        <v>280</v>
      </c>
      <c r="F54" s="5" t="s">
        <v>327</v>
      </c>
      <c r="G54" s="5" t="s">
        <v>328</v>
      </c>
    </row>
    <row r="55" spans="1:7" x14ac:dyDescent="0.3">
      <c r="A55" s="86">
        <v>103584</v>
      </c>
      <c r="B55" s="86" t="s">
        <v>54</v>
      </c>
      <c r="C55" s="91" t="str">
        <f>IF(A55="","",VLOOKUP(A55,'CPU-Insumos_MO'!$B$8:$G$24,2,FALSE))</f>
        <v>Assistente Social (Pleno)</v>
      </c>
      <c r="D55" s="88" t="str">
        <f>IF(A55="","",VLOOKUP(A55,'CPU-Insumos_MO'!$B$8:$G$24,5,FALSE))</f>
        <v>h</v>
      </c>
      <c r="E55" s="90">
        <f>MC_CPU.003!C7</f>
        <v>20</v>
      </c>
      <c r="F55" s="88"/>
      <c r="G55" s="92">
        <f>F55*E55</f>
        <v>0</v>
      </c>
    </row>
    <row r="56" spans="1:7" x14ac:dyDescent="0.3">
      <c r="A56" s="86">
        <v>20031</v>
      </c>
      <c r="B56" s="86" t="s">
        <v>54</v>
      </c>
      <c r="C56" s="91" t="str">
        <f>IF(A56="","",VLOOKUP(A56,'CPU-Insumos_MO'!$B$8:$G$24,2,FALSE))</f>
        <v>Auxiliar Técnico</v>
      </c>
      <c r="D56" s="88" t="str">
        <f>IF(A56="","",VLOOKUP(A56,'CPU-Insumos_MO'!$B$8:$G$24,5,FALSE))</f>
        <v>h</v>
      </c>
      <c r="E56" s="90">
        <f>MC_CPU.003!C10</f>
        <v>24</v>
      </c>
      <c r="F56" s="88"/>
      <c r="G56" s="92">
        <f>F56*E56</f>
        <v>0</v>
      </c>
    </row>
    <row r="57" spans="1:7" x14ac:dyDescent="0.3">
      <c r="A57" s="86">
        <v>33952</v>
      </c>
      <c r="B57" s="86" t="s">
        <v>55</v>
      </c>
      <c r="C57" s="91" t="str">
        <f>IF(A57="","",VLOOKUP(A57,'CPU-Insumos_MO'!$B$8:$G$24,2,FALSE))</f>
        <v>Arquiteto de Obra Pleno</v>
      </c>
      <c r="D57" s="88" t="str">
        <f>IF(A57="","",VLOOKUP(A57,'CPU-Insumos_MO'!$B$8:$G$24,5,FALSE))</f>
        <v>h</v>
      </c>
      <c r="E57" s="90">
        <f>MC_CPU.003!C12</f>
        <v>20</v>
      </c>
      <c r="F57" s="88"/>
      <c r="G57" s="92">
        <f>F57*E57</f>
        <v>0</v>
      </c>
    </row>
    <row r="58" spans="1:7" x14ac:dyDescent="0.3">
      <c r="A58" s="405" t="s">
        <v>332</v>
      </c>
      <c r="B58" s="406"/>
      <c r="C58" s="406"/>
      <c r="D58" s="406"/>
      <c r="E58" s="406"/>
      <c r="F58" s="407"/>
      <c r="G58" s="93">
        <f>SUM(G55:G57)</f>
        <v>0</v>
      </c>
    </row>
    <row r="59" spans="1:7" x14ac:dyDescent="0.3">
      <c r="A59" s="369"/>
      <c r="B59" s="370"/>
      <c r="C59" s="370"/>
      <c r="D59" s="370"/>
      <c r="E59" s="370"/>
      <c r="F59" s="370"/>
      <c r="G59" s="371"/>
    </row>
    <row r="60" spans="1:7" x14ac:dyDescent="0.3">
      <c r="A60" s="5" t="s">
        <v>50</v>
      </c>
      <c r="B60" s="5" t="s">
        <v>324</v>
      </c>
      <c r="C60" s="5" t="s">
        <v>397</v>
      </c>
      <c r="D60" s="5" t="s">
        <v>326</v>
      </c>
      <c r="E60" s="5" t="s">
        <v>280</v>
      </c>
      <c r="F60" s="5" t="s">
        <v>327</v>
      </c>
      <c r="G60" s="5" t="s">
        <v>426</v>
      </c>
    </row>
    <row r="61" spans="1:7" ht="27.6" x14ac:dyDescent="0.3">
      <c r="A61" s="86" t="s">
        <v>727</v>
      </c>
      <c r="B61" s="86" t="s">
        <v>778</v>
      </c>
      <c r="C61" s="87" t="str">
        <f>IF(A61="","",VLOOKUP(A61,'CPU-Insumos_DD'!$B$8:$E$18,2,FALSE))</f>
        <v>Banner 100 x 70 cm, folha em lona, brilho gramatura mínima 440g/m² com 4 x 0 cores</v>
      </c>
      <c r="D61" s="88" t="str">
        <f>IF(A61="","",VLOOKUP(A61,'CPU-Insumos_DD'!$B$8:$E$18,3,FALSE))</f>
        <v>und</v>
      </c>
      <c r="E61" s="90">
        <f>MC_CPU.003!C18</f>
        <v>1</v>
      </c>
      <c r="F61" s="88"/>
      <c r="G61" s="92">
        <f>F61*E61</f>
        <v>0</v>
      </c>
    </row>
    <row r="62" spans="1:7" ht="27.6" x14ac:dyDescent="0.3">
      <c r="A62" s="86" t="s">
        <v>728</v>
      </c>
      <c r="B62" s="86" t="s">
        <v>778</v>
      </c>
      <c r="C62" s="87" t="str">
        <f>IF(A62="","",VLOOKUP(A62,'CPU-Insumos_DD'!$B$8:$E$18,2,FALSE))</f>
        <v>Cartaz dim. 42x29,7cm, 4x0 cores, Tinta Escala em Off-set gramatura mínima  90g/m²</v>
      </c>
      <c r="D62" s="88" t="str">
        <f>IF(A62="","",VLOOKUP(A62,'CPU-Insumos_DD'!$B$8:$E$18,3,FALSE))</f>
        <v>und</v>
      </c>
      <c r="E62" s="90">
        <f>MC_CPU.003!C16</f>
        <v>20</v>
      </c>
      <c r="F62" s="88"/>
      <c r="G62" s="92">
        <f t="shared" ref="G62:G64" si="1">F62*E62</f>
        <v>0</v>
      </c>
    </row>
    <row r="63" spans="1:7" ht="27.6" x14ac:dyDescent="0.3">
      <c r="A63" s="86" t="s">
        <v>729</v>
      </c>
      <c r="B63" s="86" t="s">
        <v>778</v>
      </c>
      <c r="C63" s="87" t="str">
        <f>IF(A63="","",VLOOKUP(A63,'CPU-Insumos_DD'!$B$8:$E$18,2,FALSE))</f>
        <v>Folder dim. 21 cm x 29,7 cm – 4/4 cores tinta média em offset gramatura mínima 90g/m²</v>
      </c>
      <c r="D63" s="88" t="str">
        <f>IF(A63="","",VLOOKUP(A63,'CPU-Insumos_DD'!$B$8:$E$18,3,FALSE))</f>
        <v>und</v>
      </c>
      <c r="E63" s="90">
        <f>MC_CPU.003!C17</f>
        <v>880</v>
      </c>
      <c r="F63" s="88"/>
      <c r="G63" s="92">
        <f t="shared" si="1"/>
        <v>0</v>
      </c>
    </row>
    <row r="64" spans="1:7" x14ac:dyDescent="0.3">
      <c r="A64" s="86" t="s">
        <v>731</v>
      </c>
      <c r="B64" s="86" t="s">
        <v>778</v>
      </c>
      <c r="C64" s="87" t="str">
        <f>IF(A64="","",VLOOKUP(A64,'CPU-Insumos_DD'!$B$8:$E$18,2,FALSE))</f>
        <v>Datashow (depreciação)</v>
      </c>
      <c r="D64" s="88" t="str">
        <f>IF(A64="","",VLOOKUP(A64,'CPU-Insumos_DD'!$B$8:$E$18,3,FALSE))</f>
        <v>dia</v>
      </c>
      <c r="E64" s="90">
        <f>MC_CPU.003!C19</f>
        <v>1</v>
      </c>
      <c r="F64" s="88"/>
      <c r="G64" s="92">
        <f t="shared" si="1"/>
        <v>0</v>
      </c>
    </row>
    <row r="65" spans="1:7" x14ac:dyDescent="0.3">
      <c r="A65" s="405" t="s">
        <v>333</v>
      </c>
      <c r="B65" s="406"/>
      <c r="C65" s="406"/>
      <c r="D65" s="406"/>
      <c r="E65" s="406"/>
      <c r="F65" s="407"/>
      <c r="G65" s="94">
        <f>TRUNC(SUM(G61:G64),2)</f>
        <v>0</v>
      </c>
    </row>
    <row r="66" spans="1:7" x14ac:dyDescent="0.3">
      <c r="A66" s="408"/>
      <c r="B66" s="409"/>
      <c r="C66" s="409"/>
      <c r="D66" s="409"/>
      <c r="E66" s="409"/>
      <c r="F66" s="409"/>
      <c r="G66" s="410"/>
    </row>
    <row r="67" spans="1:7" x14ac:dyDescent="0.3">
      <c r="A67" s="411" t="s">
        <v>349</v>
      </c>
      <c r="B67" s="412"/>
      <c r="C67" s="412"/>
      <c r="D67" s="413"/>
      <c r="E67" s="411" t="s">
        <v>398</v>
      </c>
      <c r="F67" s="412"/>
      <c r="G67" s="413"/>
    </row>
    <row r="68" spans="1:7" x14ac:dyDescent="0.3">
      <c r="A68" s="414"/>
      <c r="B68" s="415"/>
      <c r="C68" s="415"/>
      <c r="D68" s="416"/>
      <c r="E68" s="90" t="s">
        <v>399</v>
      </c>
      <c r="F68" s="143" t="s">
        <v>406</v>
      </c>
      <c r="G68" s="92">
        <f>G58</f>
        <v>0</v>
      </c>
    </row>
    <row r="69" spans="1:7" x14ac:dyDescent="0.3">
      <c r="A69" s="417"/>
      <c r="B69" s="418"/>
      <c r="C69" s="418"/>
      <c r="D69" s="419"/>
      <c r="E69" s="138" t="s">
        <v>400</v>
      </c>
      <c r="F69" s="144" t="s">
        <v>407</v>
      </c>
      <c r="G69" s="139">
        <f>G65</f>
        <v>0</v>
      </c>
    </row>
    <row r="70" spans="1:7" x14ac:dyDescent="0.3">
      <c r="A70" s="417"/>
      <c r="B70" s="418"/>
      <c r="C70" s="418"/>
      <c r="D70" s="419"/>
      <c r="E70" s="6" t="s">
        <v>401</v>
      </c>
      <c r="F70" s="145" t="s">
        <v>410</v>
      </c>
      <c r="G70" s="146">
        <f>FATOR_K!$E$12</f>
        <v>1.9967159277504105</v>
      </c>
    </row>
    <row r="71" spans="1:7" x14ac:dyDescent="0.3">
      <c r="A71" s="417"/>
      <c r="B71" s="418"/>
      <c r="C71" s="418"/>
      <c r="D71" s="419"/>
      <c r="E71" s="6" t="s">
        <v>402</v>
      </c>
      <c r="F71" s="145" t="s">
        <v>411</v>
      </c>
      <c r="G71" s="147">
        <f>FATOR_K!$E$13</f>
        <v>1.0946907498631637</v>
      </c>
    </row>
    <row r="72" spans="1:7" x14ac:dyDescent="0.3">
      <c r="A72" s="417"/>
      <c r="B72" s="418"/>
      <c r="C72" s="418"/>
      <c r="D72" s="419"/>
      <c r="E72" s="148" t="s">
        <v>403</v>
      </c>
      <c r="F72" s="149" t="s">
        <v>408</v>
      </c>
      <c r="G72" s="150">
        <f>ROUND(SUM(G68:G69),2)</f>
        <v>0</v>
      </c>
    </row>
    <row r="73" spans="1:7" x14ac:dyDescent="0.3">
      <c r="A73" s="420"/>
      <c r="B73" s="421"/>
      <c r="C73" s="421"/>
      <c r="D73" s="422"/>
      <c r="E73" s="83" t="s">
        <v>404</v>
      </c>
      <c r="F73" s="141" t="s">
        <v>405</v>
      </c>
      <c r="G73" s="142">
        <f>ROUND((G68*G70)+(G69*G71),2)</f>
        <v>0</v>
      </c>
    </row>
    <row r="74" spans="1:7" ht="6" customHeight="1" x14ac:dyDescent="0.3">
      <c r="A74" s="402"/>
      <c r="B74" s="403"/>
      <c r="C74" s="403"/>
      <c r="D74" s="403"/>
      <c r="E74" s="403"/>
      <c r="F74" s="403"/>
      <c r="G74" s="404"/>
    </row>
    <row r="75" spans="1:7" x14ac:dyDescent="0.3">
      <c r="A75" s="423"/>
      <c r="B75" s="424"/>
      <c r="C75" s="424"/>
      <c r="D75" s="424"/>
      <c r="E75" s="424"/>
      <c r="F75" s="424"/>
      <c r="G75" s="425"/>
    </row>
    <row r="76" spans="1:7" s="53" customFormat="1" ht="72.599999999999994" customHeight="1" x14ac:dyDescent="0.25">
      <c r="A76" s="152" t="s">
        <v>272</v>
      </c>
      <c r="B76" s="152"/>
      <c r="C76" s="426" t="str">
        <f>VLOOKUP(A76,'Planilha Orçamentária'!$B$6:$E$17,3,FALSE)</f>
        <v>Levantamento Topográfico Planialtimétrico Cadastral Georreferenciado para Loteamentos, Incluindo a Implantação de Base (Par de Marcos) de Concreto, Georreferenciados com GPS de Dupla Frequência e levantamento aerofotogramétrico urbano, GSD &lt;= 4cm; PEC Classe A, Inclusive Pós Processamento.</v>
      </c>
      <c r="D76" s="427"/>
      <c r="E76" s="309" t="str">
        <f>VLOOKUP(A76,'Planilha Orçamentária'!$B$6:$E$17,4,FALSE)</f>
        <v>m²</v>
      </c>
      <c r="F76" s="153">
        <f>G100</f>
        <v>0</v>
      </c>
      <c r="G76" s="153">
        <f>G101</f>
        <v>0</v>
      </c>
    </row>
    <row r="77" spans="1:7" x14ac:dyDescent="0.3">
      <c r="A77" s="423"/>
      <c r="B77" s="424"/>
      <c r="C77" s="424"/>
      <c r="D77" s="424"/>
      <c r="E77" s="424"/>
      <c r="F77" s="424"/>
      <c r="G77" s="425"/>
    </row>
    <row r="78" spans="1:7" x14ac:dyDescent="0.3">
      <c r="A78" s="5" t="s">
        <v>50</v>
      </c>
      <c r="B78" s="5" t="s">
        <v>324</v>
      </c>
      <c r="C78" s="5" t="s">
        <v>325</v>
      </c>
      <c r="D78" s="5" t="s">
        <v>326</v>
      </c>
      <c r="E78" s="5" t="s">
        <v>280</v>
      </c>
      <c r="F78" s="5" t="s">
        <v>327</v>
      </c>
      <c r="G78" s="5" t="s">
        <v>328</v>
      </c>
    </row>
    <row r="79" spans="1:7" x14ac:dyDescent="0.3">
      <c r="A79" s="86">
        <v>7592</v>
      </c>
      <c r="B79" s="86" t="s">
        <v>55</v>
      </c>
      <c r="C79" s="91" t="str">
        <f>IF(A79="","",VLOOKUP(A79,'CPU-Insumos_MO'!$B$8:$G$24,2,FALSE))</f>
        <v>Topógrafo (Horista)</v>
      </c>
      <c r="D79" s="88" t="str">
        <f>IF(A79="","",VLOOKUP(A79,'CPU-Insumos_MO'!$B$8:$G$24,5,FALSE))</f>
        <v>h</v>
      </c>
      <c r="E79" s="90">
        <f>MC_CPU.004!E8</f>
        <v>7.0400000000000003E-3</v>
      </c>
      <c r="F79" s="88"/>
      <c r="G79" s="92">
        <f t="shared" ref="G79:G84" si="2">F79*E79</f>
        <v>0</v>
      </c>
    </row>
    <row r="80" spans="1:7" x14ac:dyDescent="0.3">
      <c r="A80" s="86">
        <v>244</v>
      </c>
      <c r="B80" s="86" t="s">
        <v>55</v>
      </c>
      <c r="C80" s="91" t="str">
        <f>IF(A80="","",VLOOKUP(A80,'CPU-Insumos_MO'!$B$8:$G$24,2,FALSE))</f>
        <v>Auxiliar de Topógrafo (Horista)</v>
      </c>
      <c r="D80" s="88" t="str">
        <f>IF(A80="","",VLOOKUP(A80,'CPU-Insumos_MO'!$B$8:$G$24,5,FALSE))</f>
        <v>h</v>
      </c>
      <c r="E80" s="90">
        <f>MC_CPU.004!E10</f>
        <v>1.4080000000000001E-2</v>
      </c>
      <c r="F80" s="88"/>
      <c r="G80" s="92">
        <f t="shared" si="2"/>
        <v>0</v>
      </c>
    </row>
    <row r="81" spans="1:7" x14ac:dyDescent="0.3">
      <c r="A81" s="86">
        <v>2358</v>
      </c>
      <c r="B81" s="86" t="s">
        <v>55</v>
      </c>
      <c r="C81" s="91" t="str">
        <f>IF(A81="","",VLOOKUP(A81,'CPU-Insumos_MO'!$B$8:$G$24,2,FALSE))</f>
        <v>Desenhista Projetista (Horista)</v>
      </c>
      <c r="D81" s="88" t="str">
        <f>IF(A81="","",VLOOKUP(A81,'CPU-Insumos_MO'!$B$8:$G$24,5,FALSE))</f>
        <v>h</v>
      </c>
      <c r="E81" s="90">
        <f>MC_CPU.004!E12</f>
        <v>1.7600000000000001E-3</v>
      </c>
      <c r="F81" s="88"/>
      <c r="G81" s="92">
        <f t="shared" si="2"/>
        <v>0</v>
      </c>
    </row>
    <row r="82" spans="1:7" x14ac:dyDescent="0.3">
      <c r="A82" s="86">
        <v>20002</v>
      </c>
      <c r="B82" s="86" t="s">
        <v>54</v>
      </c>
      <c r="C82" s="91" t="str">
        <f>IF(A82="","",VLOOKUP(A82,'CPU-Insumos_MO'!$B$8:$G$24,2,FALSE))</f>
        <v>Servente</v>
      </c>
      <c r="D82" s="88" t="str">
        <f>IF(A82="","",VLOOKUP(A82,'CPU-Insumos_MO'!$B$8:$G$24,5,FALSE))</f>
        <v>h</v>
      </c>
      <c r="E82" s="90">
        <f>MC_CPU.004!E23</f>
        <v>1.6000000000000001E-4</v>
      </c>
      <c r="F82" s="88"/>
      <c r="G82" s="92">
        <f t="shared" si="2"/>
        <v>0</v>
      </c>
    </row>
    <row r="83" spans="1:7" x14ac:dyDescent="0.3">
      <c r="A83" s="86">
        <v>20070</v>
      </c>
      <c r="B83" s="86" t="s">
        <v>54</v>
      </c>
      <c r="C83" s="91" t="str">
        <f>IF(A83="","",VLOOKUP(A83,'CPU-Insumos_MO'!$B$8:$G$24,2,FALSE))</f>
        <v>Engenheiro Junior</v>
      </c>
      <c r="D83" s="88" t="str">
        <f>IF(A83="","",VLOOKUP(A83,'CPU-Insumos_MO'!$B$8:$G$24,5,FALSE))</f>
        <v>h</v>
      </c>
      <c r="E83" s="90">
        <f>MC_CPU.004!E22</f>
        <v>1.2800000000000001E-5</v>
      </c>
      <c r="F83" s="88"/>
      <c r="G83" s="92">
        <f t="shared" si="2"/>
        <v>0</v>
      </c>
    </row>
    <row r="84" spans="1:7" x14ac:dyDescent="0.3">
      <c r="A84" s="86">
        <v>1001</v>
      </c>
      <c r="B84" s="86" t="s">
        <v>446</v>
      </c>
      <c r="C84" s="91" t="str">
        <f>IF(A84="","",VLOOKUP(A84,'CPU-Insumos_MO'!$B$8:$G$24,2,FALSE))</f>
        <v>Operador de Drone*</v>
      </c>
      <c r="D84" s="88" t="str">
        <f>IF(A84="","",VLOOKUP(A84,'CPU-Insumos_MO'!$B$8:$G$24,5,FALSE))</f>
        <v>h</v>
      </c>
      <c r="E84" s="90">
        <f>MC_CPU.004!E14</f>
        <v>4.4000000000000003E-3</v>
      </c>
      <c r="F84" s="88"/>
      <c r="G84" s="92">
        <f t="shared" si="2"/>
        <v>0</v>
      </c>
    </row>
    <row r="85" spans="1:7" x14ac:dyDescent="0.3">
      <c r="A85" s="405" t="s">
        <v>332</v>
      </c>
      <c r="B85" s="406"/>
      <c r="C85" s="406"/>
      <c r="D85" s="406"/>
      <c r="E85" s="406"/>
      <c r="F85" s="407"/>
      <c r="G85" s="93">
        <f>SUM(G79:G84)</f>
        <v>0</v>
      </c>
    </row>
    <row r="86" spans="1:7" x14ac:dyDescent="0.3">
      <c r="A86" s="369"/>
      <c r="B86" s="370"/>
      <c r="C86" s="370"/>
      <c r="D86" s="370"/>
      <c r="E86" s="370"/>
      <c r="F86" s="370"/>
      <c r="G86" s="371"/>
    </row>
    <row r="87" spans="1:7" x14ac:dyDescent="0.3">
      <c r="A87" s="5" t="s">
        <v>50</v>
      </c>
      <c r="B87" s="5" t="s">
        <v>324</v>
      </c>
      <c r="C87" s="5" t="s">
        <v>397</v>
      </c>
      <c r="D87" s="5" t="s">
        <v>326</v>
      </c>
      <c r="E87" s="5" t="s">
        <v>280</v>
      </c>
      <c r="F87" s="5" t="s">
        <v>327</v>
      </c>
      <c r="G87" s="5" t="s">
        <v>426</v>
      </c>
    </row>
    <row r="88" spans="1:7" ht="23.25" customHeight="1" x14ac:dyDescent="0.3">
      <c r="A88" s="86">
        <v>42888</v>
      </c>
      <c r="B88" s="86" t="s">
        <v>54</v>
      </c>
      <c r="C88" s="87" t="str">
        <f>IF(A88="","",VLOOKUP(A88,'CPU-Insumos_DD'!$B$8:$E$12,2,FALSE))</f>
        <v>Aluguel mensal de automóvel utilitário inclusive combustível, exclusive motorista</v>
      </c>
      <c r="D88" s="88" t="str">
        <f>IF(A88="","",VLOOKUP(A88,'CPU-Insumos_DD'!$B$8:$E$12,3,FALSE))</f>
        <v>mês</v>
      </c>
      <c r="E88" s="90">
        <f>MC_CPU.004!E18</f>
        <v>4.0000000000000003E-5</v>
      </c>
      <c r="F88" s="88"/>
      <c r="G88" s="92">
        <f>F88*E88</f>
        <v>0</v>
      </c>
    </row>
    <row r="89" spans="1:7" x14ac:dyDescent="0.3">
      <c r="A89" s="86">
        <v>10587</v>
      </c>
      <c r="B89" s="86" t="s">
        <v>54</v>
      </c>
      <c r="C89" s="87" t="str">
        <f>IF(A89="","",VLOOKUP(A89,'CPU-Insumos_DD'!$B$8:$E$12,2,FALSE))</f>
        <v>Aluguel mensal de instrumento de topografia ( Estação Total )</v>
      </c>
      <c r="D89" s="88" t="str">
        <f>IF(A89="","",VLOOKUP(A89,'CPU-Insumos_DD'!$B$8:$E$12,3,FALSE))</f>
        <v>mês</v>
      </c>
      <c r="E89" s="90">
        <f>MC_CPU.004!E16</f>
        <v>4.0000000000000003E-5</v>
      </c>
      <c r="F89" s="88"/>
      <c r="G89" s="92">
        <f t="shared" ref="G89:G92" si="3">F89*E89</f>
        <v>0</v>
      </c>
    </row>
    <row r="90" spans="1:7" x14ac:dyDescent="0.3">
      <c r="A90" s="86">
        <v>11490</v>
      </c>
      <c r="B90" s="86" t="s">
        <v>54</v>
      </c>
      <c r="C90" s="87" t="str">
        <f>IF(A90="","",VLOOKUP(A90,'CPU-Insumos_DD'!$B$8:$E$12,2,FALSE))</f>
        <v>Aluguel mensal de GPS Geodésico dupla frequência (L1/L2)</v>
      </c>
      <c r="D90" s="88" t="str">
        <f>IF(A90="","",VLOOKUP(A90,'CPU-Insumos_DD'!$B$8:$E$12,3,FALSE))</f>
        <v>mês</v>
      </c>
      <c r="E90" s="90">
        <f>MC_CPU.004!E24</f>
        <v>1.0000000000000001E-5</v>
      </c>
      <c r="F90" s="88"/>
      <c r="G90" s="92">
        <f t="shared" si="3"/>
        <v>0</v>
      </c>
    </row>
    <row r="91" spans="1:7" x14ac:dyDescent="0.3">
      <c r="A91" s="86">
        <v>40358</v>
      </c>
      <c r="B91" s="86" t="s">
        <v>54</v>
      </c>
      <c r="C91" s="87" t="str">
        <f>IF(A91="","",VLOOKUP(A91,'CPU-Insumos_DD'!$B$8:$E$12,2,FALSE))</f>
        <v>Concreto estrutural fck = 15,0 MPa, tudo incluído</v>
      </c>
      <c r="D91" s="88" t="str">
        <f>IF(A91="","",VLOOKUP(A91,'CPU-Insumos_DD'!$B$8:$E$12,3,FALSE))</f>
        <v>m³</v>
      </c>
      <c r="E91" s="90">
        <f>MC_CPU.004!E25</f>
        <v>1.0000000000000001E-5</v>
      </c>
      <c r="F91" s="88"/>
      <c r="G91" s="92">
        <f t="shared" si="3"/>
        <v>0</v>
      </c>
    </row>
    <row r="92" spans="1:7" ht="27.6" x14ac:dyDescent="0.3">
      <c r="A92" s="86" t="s">
        <v>732</v>
      </c>
      <c r="B92" s="86" t="s">
        <v>778</v>
      </c>
      <c r="C92" s="87" t="str">
        <f>IF(A92="","",VLOOKUP(A92,'CPU-Insumos_DD'!$B$8:$E$18,2,FALSE))</f>
        <v>Locação de VANT - Veículo Aéreo Não Tripulado (Drone DJI Matrice 200 Ou Similar), Excl. Operador (Base Local Do Orçamento 1202301)</v>
      </c>
      <c r="D92" s="90" t="str">
        <f>IF(A92="","",VLOOKUP(A92,'CPU-Insumos_DD'!$B$8:$E$18,3,FALSE))</f>
        <v>dia</v>
      </c>
      <c r="E92" s="90">
        <f>MC_CPU.004!E27</f>
        <v>1.25E-4</v>
      </c>
      <c r="F92" s="88"/>
      <c r="G92" s="92">
        <f t="shared" si="3"/>
        <v>0</v>
      </c>
    </row>
    <row r="93" spans="1:7" x14ac:dyDescent="0.3">
      <c r="A93" s="405" t="s">
        <v>333</v>
      </c>
      <c r="B93" s="406"/>
      <c r="C93" s="406"/>
      <c r="D93" s="406"/>
      <c r="E93" s="406"/>
      <c r="F93" s="407"/>
      <c r="G93" s="94">
        <f>TRUNC(SUM(G88:G92),2)</f>
        <v>0</v>
      </c>
    </row>
    <row r="94" spans="1:7" x14ac:dyDescent="0.3">
      <c r="A94" s="408"/>
      <c r="B94" s="409"/>
      <c r="C94" s="409"/>
      <c r="D94" s="409"/>
      <c r="E94" s="409"/>
      <c r="F94" s="409"/>
      <c r="G94" s="410"/>
    </row>
    <row r="95" spans="1:7" x14ac:dyDescent="0.3">
      <c r="A95" s="411" t="s">
        <v>349</v>
      </c>
      <c r="B95" s="412"/>
      <c r="C95" s="412"/>
      <c r="D95" s="413"/>
      <c r="E95" s="411" t="s">
        <v>398</v>
      </c>
      <c r="F95" s="412"/>
      <c r="G95" s="413"/>
    </row>
    <row r="96" spans="1:7" x14ac:dyDescent="0.3">
      <c r="A96" s="414"/>
      <c r="B96" s="415"/>
      <c r="C96" s="415"/>
      <c r="D96" s="416"/>
      <c r="E96" s="90" t="s">
        <v>399</v>
      </c>
      <c r="F96" s="143" t="s">
        <v>406</v>
      </c>
      <c r="G96" s="92">
        <f>G85</f>
        <v>0</v>
      </c>
    </row>
    <row r="97" spans="1:7" x14ac:dyDescent="0.3">
      <c r="A97" s="417"/>
      <c r="B97" s="418"/>
      <c r="C97" s="418"/>
      <c r="D97" s="419"/>
      <c r="E97" s="138" t="s">
        <v>400</v>
      </c>
      <c r="F97" s="144" t="s">
        <v>407</v>
      </c>
      <c r="G97" s="139">
        <f>G93</f>
        <v>0</v>
      </c>
    </row>
    <row r="98" spans="1:7" x14ac:dyDescent="0.3">
      <c r="A98" s="417"/>
      <c r="B98" s="418"/>
      <c r="C98" s="418"/>
      <c r="D98" s="419"/>
      <c r="E98" s="6" t="s">
        <v>401</v>
      </c>
      <c r="F98" s="145" t="s">
        <v>410</v>
      </c>
      <c r="G98" s="146">
        <f>FATOR_K!$E$12</f>
        <v>1.9967159277504105</v>
      </c>
    </row>
    <row r="99" spans="1:7" x14ac:dyDescent="0.3">
      <c r="A99" s="417"/>
      <c r="B99" s="418"/>
      <c r="C99" s="418"/>
      <c r="D99" s="419"/>
      <c r="E99" s="6" t="s">
        <v>402</v>
      </c>
      <c r="F99" s="145" t="s">
        <v>411</v>
      </c>
      <c r="G99" s="147">
        <f>FATOR_K!$E$13</f>
        <v>1.0946907498631637</v>
      </c>
    </row>
    <row r="100" spans="1:7" x14ac:dyDescent="0.3">
      <c r="A100" s="417"/>
      <c r="B100" s="418"/>
      <c r="C100" s="418"/>
      <c r="D100" s="419"/>
      <c r="E100" s="148" t="s">
        <v>403</v>
      </c>
      <c r="F100" s="149" t="s">
        <v>408</v>
      </c>
      <c r="G100" s="150">
        <f>ROUND(SUM(G96:G97),2)</f>
        <v>0</v>
      </c>
    </row>
    <row r="101" spans="1:7" x14ac:dyDescent="0.3">
      <c r="A101" s="420"/>
      <c r="B101" s="421"/>
      <c r="C101" s="421"/>
      <c r="D101" s="422"/>
      <c r="E101" s="83" t="s">
        <v>404</v>
      </c>
      <c r="F101" s="141" t="s">
        <v>405</v>
      </c>
      <c r="G101" s="142">
        <f>ROUND((G96*G98)+(G97*G99),2)</f>
        <v>0</v>
      </c>
    </row>
    <row r="102" spans="1:7" ht="6" customHeight="1" x14ac:dyDescent="0.3">
      <c r="A102" s="402"/>
      <c r="B102" s="403"/>
      <c r="C102" s="403"/>
      <c r="D102" s="403"/>
      <c r="E102" s="403"/>
      <c r="F102" s="403"/>
      <c r="G102" s="404"/>
    </row>
    <row r="103" spans="1:7" x14ac:dyDescent="0.3">
      <c r="A103" s="423"/>
      <c r="B103" s="424"/>
      <c r="C103" s="424"/>
      <c r="D103" s="424"/>
      <c r="E103" s="424"/>
      <c r="F103" s="424"/>
      <c r="G103" s="425"/>
    </row>
    <row r="104" spans="1:7" ht="31.2" customHeight="1" x14ac:dyDescent="0.3">
      <c r="A104" s="152" t="s">
        <v>273</v>
      </c>
      <c r="B104" s="152"/>
      <c r="C104" s="426" t="s">
        <v>749</v>
      </c>
      <c r="D104" s="428"/>
      <c r="E104" s="152" t="s">
        <v>28</v>
      </c>
      <c r="F104" s="153">
        <f>G121</f>
        <v>0</v>
      </c>
      <c r="G104" s="153">
        <f>G122</f>
        <v>0</v>
      </c>
    </row>
    <row r="105" spans="1:7" x14ac:dyDescent="0.3">
      <c r="A105" s="423"/>
      <c r="B105" s="424"/>
      <c r="C105" s="424"/>
      <c r="D105" s="424"/>
      <c r="E105" s="424"/>
      <c r="F105" s="424"/>
      <c r="G105" s="425"/>
    </row>
    <row r="106" spans="1:7" x14ac:dyDescent="0.3">
      <c r="A106" s="5" t="s">
        <v>50</v>
      </c>
      <c r="B106" s="5" t="s">
        <v>324</v>
      </c>
      <c r="C106" s="5" t="s">
        <v>325</v>
      </c>
      <c r="D106" s="5" t="s">
        <v>326</v>
      </c>
      <c r="E106" s="5" t="s">
        <v>280</v>
      </c>
      <c r="F106" s="5" t="s">
        <v>327</v>
      </c>
      <c r="G106" s="5" t="s">
        <v>328</v>
      </c>
    </row>
    <row r="107" spans="1:7" x14ac:dyDescent="0.3">
      <c r="A107" s="86">
        <v>103584</v>
      </c>
      <c r="B107" s="86" t="s">
        <v>54</v>
      </c>
      <c r="C107" s="91" t="str">
        <f>IF(A107="","",VLOOKUP(A107,'CPU-Insumos_MO'!$B$8:$G$24,2,FALSE))</f>
        <v>Assistente Social (Pleno)</v>
      </c>
      <c r="D107" s="88" t="str">
        <f>IF(A107="","",VLOOKUP(A107,'CPU-Insumos_MO'!$B$8:$G$24,5,FALSE))</f>
        <v>h</v>
      </c>
      <c r="E107" s="90">
        <f>MC_CPU.005!C10</f>
        <v>176</v>
      </c>
      <c r="F107" s="88"/>
      <c r="G107" s="92">
        <f>F107*E107</f>
        <v>0</v>
      </c>
    </row>
    <row r="108" spans="1:7" x14ac:dyDescent="0.3">
      <c r="A108" s="86">
        <v>20031</v>
      </c>
      <c r="B108" s="86" t="s">
        <v>54</v>
      </c>
      <c r="C108" s="91" t="str">
        <f>IF(A108="","",VLOOKUP(A108,'CPU-Insumos_MO'!$B$8:$G$24,2,FALSE))</f>
        <v>Auxiliar Técnico</v>
      </c>
      <c r="D108" s="88" t="str">
        <f>IF(A108="","",VLOOKUP(A108,'CPU-Insumos_MO'!$B$8:$G$24,5,FALSE))</f>
        <v>h</v>
      </c>
      <c r="E108" s="90">
        <f>MC_CPU.005!C12</f>
        <v>176</v>
      </c>
      <c r="F108" s="88"/>
      <c r="G108" s="92">
        <f>F108*E108</f>
        <v>0</v>
      </c>
    </row>
    <row r="109" spans="1:7" x14ac:dyDescent="0.3">
      <c r="A109" s="86">
        <v>20028</v>
      </c>
      <c r="B109" s="86" t="s">
        <v>54</v>
      </c>
      <c r="C109" s="91" t="str">
        <f>IF(A109="","",VLOOKUP(A109,'CPU-Insumos_MO'!$B$8:$G$24,2,FALSE))</f>
        <v>Advogado</v>
      </c>
      <c r="D109" s="88" t="str">
        <f>IF(A109="","",VLOOKUP(A109,'CPU-Insumos_MO'!$B$8:$G$24,5,FALSE))</f>
        <v>h</v>
      </c>
      <c r="E109" s="90">
        <f>MC_CPU.005!C14</f>
        <v>44</v>
      </c>
      <c r="F109" s="88"/>
      <c r="G109" s="92">
        <f>F109*E109</f>
        <v>0</v>
      </c>
    </row>
    <row r="110" spans="1:7" x14ac:dyDescent="0.3">
      <c r="A110" s="86">
        <v>33952</v>
      </c>
      <c r="B110" s="86" t="s">
        <v>55</v>
      </c>
      <c r="C110" s="91" t="str">
        <f>IF(A110="","",VLOOKUP(A110,'CPU-Insumos_MO'!$B$8:$G$24,2,FALSE))</f>
        <v>Arquiteto de Obra Pleno</v>
      </c>
      <c r="D110" s="88" t="str">
        <f>IF(A110="","",VLOOKUP(A110,'CPU-Insumos_MO'!$B$8:$G$24,5,FALSE))</f>
        <v>h</v>
      </c>
      <c r="E110" s="90">
        <f>MC_CPU.005!C16</f>
        <v>44</v>
      </c>
      <c r="F110" s="88"/>
      <c r="G110" s="92">
        <f>F110*E110</f>
        <v>0</v>
      </c>
    </row>
    <row r="111" spans="1:7" x14ac:dyDescent="0.3">
      <c r="A111" s="405" t="s">
        <v>332</v>
      </c>
      <c r="B111" s="406"/>
      <c r="C111" s="406"/>
      <c r="D111" s="406"/>
      <c r="E111" s="406"/>
      <c r="F111" s="407"/>
      <c r="G111" s="93">
        <f>SUM(G107:G110)</f>
        <v>0</v>
      </c>
    </row>
    <row r="112" spans="1:7" x14ac:dyDescent="0.3">
      <c r="A112" s="369"/>
      <c r="B112" s="370"/>
      <c r="C112" s="370"/>
      <c r="D112" s="370"/>
      <c r="E112" s="370"/>
      <c r="F112" s="370"/>
      <c r="G112" s="371"/>
    </row>
    <row r="113" spans="1:7" x14ac:dyDescent="0.3">
      <c r="A113" s="5" t="s">
        <v>50</v>
      </c>
      <c r="B113" s="5" t="s">
        <v>324</v>
      </c>
      <c r="C113" s="5" t="s">
        <v>397</v>
      </c>
      <c r="D113" s="5" t="s">
        <v>326</v>
      </c>
      <c r="E113" s="5" t="s">
        <v>280</v>
      </c>
      <c r="F113" s="5" t="s">
        <v>327</v>
      </c>
      <c r="G113" s="5" t="s">
        <v>426</v>
      </c>
    </row>
    <row r="114" spans="1:7" x14ac:dyDescent="0.3">
      <c r="A114" s="405" t="s">
        <v>333</v>
      </c>
      <c r="B114" s="406"/>
      <c r="C114" s="406"/>
      <c r="D114" s="406"/>
      <c r="E114" s="406"/>
      <c r="F114" s="407"/>
      <c r="G114" s="94">
        <v>0</v>
      </c>
    </row>
    <row r="115" spans="1:7" x14ac:dyDescent="0.3">
      <c r="A115" s="408"/>
      <c r="B115" s="409"/>
      <c r="C115" s="409"/>
      <c r="D115" s="409"/>
      <c r="E115" s="409"/>
      <c r="F115" s="409"/>
      <c r="G115" s="410"/>
    </row>
    <row r="116" spans="1:7" x14ac:dyDescent="0.3">
      <c r="A116" s="411" t="s">
        <v>349</v>
      </c>
      <c r="B116" s="412"/>
      <c r="C116" s="412"/>
      <c r="D116" s="413"/>
      <c r="E116" s="411" t="s">
        <v>398</v>
      </c>
      <c r="F116" s="412"/>
      <c r="G116" s="413"/>
    </row>
    <row r="117" spans="1:7" x14ac:dyDescent="0.3">
      <c r="A117" s="414"/>
      <c r="B117" s="415"/>
      <c r="C117" s="415"/>
      <c r="D117" s="416"/>
      <c r="E117" s="90" t="s">
        <v>399</v>
      </c>
      <c r="F117" s="143" t="s">
        <v>406</v>
      </c>
      <c r="G117" s="92">
        <f>G111</f>
        <v>0</v>
      </c>
    </row>
    <row r="118" spans="1:7" x14ac:dyDescent="0.3">
      <c r="A118" s="417"/>
      <c r="B118" s="418"/>
      <c r="C118" s="418"/>
      <c r="D118" s="419"/>
      <c r="E118" s="138" t="s">
        <v>400</v>
      </c>
      <c r="F118" s="144" t="s">
        <v>407</v>
      </c>
      <c r="G118" s="139">
        <f>G114</f>
        <v>0</v>
      </c>
    </row>
    <row r="119" spans="1:7" x14ac:dyDescent="0.3">
      <c r="A119" s="417"/>
      <c r="B119" s="418"/>
      <c r="C119" s="418"/>
      <c r="D119" s="419"/>
      <c r="E119" s="6" t="s">
        <v>401</v>
      </c>
      <c r="F119" s="145" t="s">
        <v>410</v>
      </c>
      <c r="G119" s="146">
        <f>FATOR_K!$E$12</f>
        <v>1.9967159277504105</v>
      </c>
    </row>
    <row r="120" spans="1:7" x14ac:dyDescent="0.3">
      <c r="A120" s="417"/>
      <c r="B120" s="418"/>
      <c r="C120" s="418"/>
      <c r="D120" s="419"/>
      <c r="E120" s="6" t="s">
        <v>402</v>
      </c>
      <c r="F120" s="145" t="s">
        <v>411</v>
      </c>
      <c r="G120" s="147">
        <f>FATOR_K!$E$13</f>
        <v>1.0946907498631637</v>
      </c>
    </row>
    <row r="121" spans="1:7" x14ac:dyDescent="0.3">
      <c r="A121" s="417"/>
      <c r="B121" s="418"/>
      <c r="C121" s="418"/>
      <c r="D121" s="419"/>
      <c r="E121" s="148" t="s">
        <v>403</v>
      </c>
      <c r="F121" s="149" t="s">
        <v>408</v>
      </c>
      <c r="G121" s="150">
        <f>ROUND(SUM(G117:G118),2)</f>
        <v>0</v>
      </c>
    </row>
    <row r="122" spans="1:7" x14ac:dyDescent="0.3">
      <c r="A122" s="420"/>
      <c r="B122" s="421"/>
      <c r="C122" s="421"/>
      <c r="D122" s="422"/>
      <c r="E122" s="83" t="s">
        <v>404</v>
      </c>
      <c r="F122" s="141" t="s">
        <v>405</v>
      </c>
      <c r="G122" s="142">
        <f>ROUND((G117*G119)+(G118*G120),2)</f>
        <v>0</v>
      </c>
    </row>
    <row r="123" spans="1:7" ht="6" customHeight="1" x14ac:dyDescent="0.3">
      <c r="A123" s="402"/>
      <c r="B123" s="403"/>
      <c r="C123" s="403"/>
      <c r="D123" s="403"/>
      <c r="E123" s="403"/>
      <c r="F123" s="403"/>
      <c r="G123" s="404"/>
    </row>
    <row r="124" spans="1:7" x14ac:dyDescent="0.3">
      <c r="A124" s="423"/>
      <c r="B124" s="424"/>
      <c r="C124" s="424"/>
      <c r="D124" s="424"/>
      <c r="E124" s="424"/>
      <c r="F124" s="424"/>
      <c r="G124" s="425"/>
    </row>
    <row r="125" spans="1:7" x14ac:dyDescent="0.3">
      <c r="A125" s="152" t="s">
        <v>750</v>
      </c>
      <c r="B125" s="152"/>
      <c r="C125" s="426" t="str">
        <f>VLOOKUP(A125,'Planilha Orçamentária'!$B$6:$E$17,3,FALSE)</f>
        <v>Administrativo Local da Regularização Fundiária com Geração de Relatório</v>
      </c>
      <c r="D125" s="427"/>
      <c r="E125" s="309" t="str">
        <f>VLOOKUP(A125,'Planilha Orçamentária'!$B$6:$E$17,4,FALSE)</f>
        <v>vb</v>
      </c>
      <c r="F125" s="153">
        <f>G139</f>
        <v>0</v>
      </c>
      <c r="G125" s="153">
        <f>G140</f>
        <v>0</v>
      </c>
    </row>
    <row r="126" spans="1:7" x14ac:dyDescent="0.3">
      <c r="A126" s="423"/>
      <c r="B126" s="424"/>
      <c r="C126" s="424"/>
      <c r="D126" s="424"/>
      <c r="E126" s="424"/>
      <c r="F126" s="424"/>
      <c r="G126" s="425"/>
    </row>
    <row r="127" spans="1:7" x14ac:dyDescent="0.3">
      <c r="A127" s="5" t="s">
        <v>50</v>
      </c>
      <c r="B127" s="5" t="s">
        <v>324</v>
      </c>
      <c r="C127" s="5" t="s">
        <v>325</v>
      </c>
      <c r="D127" s="5" t="s">
        <v>326</v>
      </c>
      <c r="E127" s="5" t="s">
        <v>280</v>
      </c>
      <c r="F127" s="5" t="s">
        <v>327</v>
      </c>
      <c r="G127" s="5" t="s">
        <v>328</v>
      </c>
    </row>
    <row r="128" spans="1:7" x14ac:dyDescent="0.3">
      <c r="A128" s="86" t="s">
        <v>273</v>
      </c>
      <c r="B128" s="86" t="s">
        <v>778</v>
      </c>
      <c r="C128" s="86" t="str">
        <f>C104</f>
        <v>Administrativo Local da Regularização Fundiária com Geração de Relatório (Mês)</v>
      </c>
      <c r="D128" s="86" t="s">
        <v>28</v>
      </c>
      <c r="E128" s="308">
        <f>MC_CPU.005A!C10</f>
        <v>24</v>
      </c>
      <c r="F128" s="157"/>
      <c r="G128" s="157">
        <f>F128*E128</f>
        <v>0</v>
      </c>
    </row>
    <row r="129" spans="1:7" x14ac:dyDescent="0.3">
      <c r="A129" s="405" t="s">
        <v>332</v>
      </c>
      <c r="B129" s="406"/>
      <c r="C129" s="406"/>
      <c r="D129" s="406"/>
      <c r="E129" s="406"/>
      <c r="F129" s="407"/>
      <c r="G129" s="93">
        <f>SUM(G128)</f>
        <v>0</v>
      </c>
    </row>
    <row r="130" spans="1:7" x14ac:dyDescent="0.3">
      <c r="A130" s="369"/>
      <c r="B130" s="370"/>
      <c r="C130" s="370"/>
      <c r="D130" s="370"/>
      <c r="E130" s="370"/>
      <c r="F130" s="370"/>
      <c r="G130" s="371"/>
    </row>
    <row r="131" spans="1:7" x14ac:dyDescent="0.3">
      <c r="A131" s="5" t="s">
        <v>50</v>
      </c>
      <c r="B131" s="5" t="s">
        <v>324</v>
      </c>
      <c r="C131" s="5" t="s">
        <v>397</v>
      </c>
      <c r="D131" s="5" t="s">
        <v>326</v>
      </c>
      <c r="E131" s="5" t="s">
        <v>280</v>
      </c>
      <c r="F131" s="5" t="s">
        <v>327</v>
      </c>
      <c r="G131" s="5" t="s">
        <v>426</v>
      </c>
    </row>
    <row r="132" spans="1:7" x14ac:dyDescent="0.3">
      <c r="A132" s="405" t="s">
        <v>333</v>
      </c>
      <c r="B132" s="406"/>
      <c r="C132" s="406"/>
      <c r="D132" s="406"/>
      <c r="E132" s="406"/>
      <c r="F132" s="407"/>
      <c r="G132" s="94">
        <v>0</v>
      </c>
    </row>
    <row r="133" spans="1:7" x14ac:dyDescent="0.3">
      <c r="A133" s="408"/>
      <c r="B133" s="409"/>
      <c r="C133" s="409"/>
      <c r="D133" s="409"/>
      <c r="E133" s="409"/>
      <c r="F133" s="409"/>
      <c r="G133" s="410"/>
    </row>
    <row r="134" spans="1:7" x14ac:dyDescent="0.3">
      <c r="A134" s="411" t="s">
        <v>349</v>
      </c>
      <c r="B134" s="412"/>
      <c r="C134" s="412"/>
      <c r="D134" s="413"/>
      <c r="E134" s="411" t="s">
        <v>398</v>
      </c>
      <c r="F134" s="412"/>
      <c r="G134" s="413"/>
    </row>
    <row r="135" spans="1:7" x14ac:dyDescent="0.3">
      <c r="A135" s="414"/>
      <c r="B135" s="415"/>
      <c r="C135" s="415"/>
      <c r="D135" s="416"/>
      <c r="E135" s="90" t="s">
        <v>399</v>
      </c>
      <c r="F135" s="143" t="s">
        <v>406</v>
      </c>
      <c r="G135" s="92">
        <f>G129</f>
        <v>0</v>
      </c>
    </row>
    <row r="136" spans="1:7" x14ac:dyDescent="0.3">
      <c r="A136" s="417"/>
      <c r="B136" s="418"/>
      <c r="C136" s="418"/>
      <c r="D136" s="419"/>
      <c r="E136" s="138" t="s">
        <v>400</v>
      </c>
      <c r="F136" s="144" t="s">
        <v>407</v>
      </c>
      <c r="G136" s="139">
        <f>G132</f>
        <v>0</v>
      </c>
    </row>
    <row r="137" spans="1:7" x14ac:dyDescent="0.3">
      <c r="A137" s="417"/>
      <c r="B137" s="418"/>
      <c r="C137" s="418"/>
      <c r="D137" s="419"/>
      <c r="E137" s="6" t="s">
        <v>401</v>
      </c>
      <c r="F137" s="145" t="s">
        <v>410</v>
      </c>
      <c r="G137" s="146">
        <f>FATOR_K!$E$12</f>
        <v>1.9967159277504105</v>
      </c>
    </row>
    <row r="138" spans="1:7" x14ac:dyDescent="0.3">
      <c r="A138" s="417"/>
      <c r="B138" s="418"/>
      <c r="C138" s="418"/>
      <c r="D138" s="419"/>
      <c r="E138" s="6" t="s">
        <v>402</v>
      </c>
      <c r="F138" s="145" t="s">
        <v>411</v>
      </c>
      <c r="G138" s="147">
        <f>FATOR_K!$E$13</f>
        <v>1.0946907498631637</v>
      </c>
    </row>
    <row r="139" spans="1:7" x14ac:dyDescent="0.3">
      <c r="A139" s="417"/>
      <c r="B139" s="418"/>
      <c r="C139" s="418"/>
      <c r="D139" s="419"/>
      <c r="E139" s="148" t="s">
        <v>403</v>
      </c>
      <c r="F139" s="149" t="s">
        <v>408</v>
      </c>
      <c r="G139" s="150">
        <f>ROUND(SUM(G135:G136),2)</f>
        <v>0</v>
      </c>
    </row>
    <row r="140" spans="1:7" x14ac:dyDescent="0.3">
      <c r="A140" s="420"/>
      <c r="B140" s="421"/>
      <c r="C140" s="421"/>
      <c r="D140" s="422"/>
      <c r="E140" s="83" t="s">
        <v>404</v>
      </c>
      <c r="F140" s="141" t="s">
        <v>405</v>
      </c>
      <c r="G140" s="142">
        <f>ROUND((G135*G137)+(G136*G138),2)</f>
        <v>0</v>
      </c>
    </row>
    <row r="141" spans="1:7" ht="6" customHeight="1" x14ac:dyDescent="0.3">
      <c r="A141" s="402"/>
      <c r="B141" s="403"/>
      <c r="C141" s="403"/>
      <c r="D141" s="403"/>
      <c r="E141" s="403"/>
      <c r="F141" s="403"/>
      <c r="G141" s="404"/>
    </row>
    <row r="142" spans="1:7" x14ac:dyDescent="0.3">
      <c r="A142" s="423"/>
      <c r="B142" s="424"/>
      <c r="C142" s="424"/>
      <c r="D142" s="424"/>
      <c r="E142" s="424"/>
      <c r="F142" s="424"/>
      <c r="G142" s="425"/>
    </row>
    <row r="143" spans="1:7" s="151" customFormat="1" x14ac:dyDescent="0.3">
      <c r="A143" s="152" t="s">
        <v>274</v>
      </c>
      <c r="B143" s="152"/>
      <c r="C143" s="426" t="str">
        <f>VLOOKUP(A143,'Planilha Orçamentária'!$B$6:$E$17,3,FALSE)</f>
        <v>Cadastro Físico e Selagem</v>
      </c>
      <c r="D143" s="427"/>
      <c r="E143" s="309" t="str">
        <f>VLOOKUP(A143,'Planilha Orçamentária'!$B$6:$E$17,4,FALSE)</f>
        <v>und</v>
      </c>
      <c r="F143" s="153">
        <f>G158</f>
        <v>0</v>
      </c>
      <c r="G143" s="153">
        <f>G159</f>
        <v>0</v>
      </c>
    </row>
    <row r="144" spans="1:7" x14ac:dyDescent="0.3">
      <c r="A144" s="423"/>
      <c r="B144" s="424"/>
      <c r="C144" s="424"/>
      <c r="D144" s="424"/>
      <c r="E144" s="424"/>
      <c r="F144" s="424"/>
      <c r="G144" s="425"/>
    </row>
    <row r="145" spans="1:7" x14ac:dyDescent="0.3">
      <c r="A145" s="5" t="s">
        <v>50</v>
      </c>
      <c r="B145" s="5" t="s">
        <v>324</v>
      </c>
      <c r="C145" s="5" t="s">
        <v>325</v>
      </c>
      <c r="D145" s="5" t="s">
        <v>326</v>
      </c>
      <c r="E145" s="5" t="s">
        <v>280</v>
      </c>
      <c r="F145" s="5" t="s">
        <v>327</v>
      </c>
      <c r="G145" s="5" t="s">
        <v>328</v>
      </c>
    </row>
    <row r="146" spans="1:7" x14ac:dyDescent="0.3">
      <c r="A146" s="86">
        <v>7592</v>
      </c>
      <c r="B146" s="86" t="s">
        <v>55</v>
      </c>
      <c r="C146" s="91" t="str">
        <f>IF(A146="","",VLOOKUP(A146,'CPU-Insumos_MO'!$B$8:$G$24,2,FALSE))</f>
        <v>Topógrafo (Horista)</v>
      </c>
      <c r="D146" s="88" t="str">
        <f>IF(A146="","",VLOOKUP(A146,'CPU-Insumos_MO'!$B$8:$G$24,5,FALSE))</f>
        <v>h</v>
      </c>
      <c r="E146" s="90">
        <f>MC_CPU.006!C9</f>
        <v>1</v>
      </c>
      <c r="F146" s="88"/>
      <c r="G146" s="92">
        <f>F146*E146</f>
        <v>0</v>
      </c>
    </row>
    <row r="147" spans="1:7" x14ac:dyDescent="0.3">
      <c r="A147" s="86">
        <v>2358</v>
      </c>
      <c r="B147" s="86" t="s">
        <v>55</v>
      </c>
      <c r="C147" s="91" t="str">
        <f>IF(A147="","",VLOOKUP(A147,'CPU-Insumos_MO'!$B$8:$G$24,2,FALSE))</f>
        <v>Desenhista Projetista (Horista)</v>
      </c>
      <c r="D147" s="88" t="str">
        <f>IF(A147="","",VLOOKUP(A147,'CPU-Insumos_MO'!$B$8:$G$24,5,FALSE))</f>
        <v>h</v>
      </c>
      <c r="E147" s="90">
        <f>MC_CPU.006!C11</f>
        <v>0.5</v>
      </c>
      <c r="F147" s="88"/>
      <c r="G147" s="92">
        <f>F147*E147</f>
        <v>0</v>
      </c>
    </row>
    <row r="148" spans="1:7" x14ac:dyDescent="0.3">
      <c r="A148" s="405" t="s">
        <v>332</v>
      </c>
      <c r="B148" s="406"/>
      <c r="C148" s="406"/>
      <c r="D148" s="406"/>
      <c r="E148" s="406"/>
      <c r="F148" s="407"/>
      <c r="G148" s="93">
        <f>SUM(G146:G147)</f>
        <v>0</v>
      </c>
    </row>
    <row r="149" spans="1:7" x14ac:dyDescent="0.3">
      <c r="A149" s="369"/>
      <c r="B149" s="370"/>
      <c r="C149" s="370"/>
      <c r="D149" s="370"/>
      <c r="E149" s="370"/>
      <c r="F149" s="370"/>
      <c r="G149" s="371"/>
    </row>
    <row r="150" spans="1:7" x14ac:dyDescent="0.3">
      <c r="A150" s="5" t="s">
        <v>50</v>
      </c>
      <c r="B150" s="5" t="s">
        <v>324</v>
      </c>
      <c r="C150" s="5" t="s">
        <v>397</v>
      </c>
      <c r="D150" s="5" t="s">
        <v>326</v>
      </c>
      <c r="E150" s="5" t="s">
        <v>280</v>
      </c>
      <c r="F150" s="5" t="s">
        <v>327</v>
      </c>
      <c r="G150" s="5" t="s">
        <v>426</v>
      </c>
    </row>
    <row r="151" spans="1:7" x14ac:dyDescent="0.3">
      <c r="A151" s="405" t="s">
        <v>333</v>
      </c>
      <c r="B151" s="406"/>
      <c r="C151" s="406"/>
      <c r="D151" s="406"/>
      <c r="E151" s="406"/>
      <c r="F151" s="407"/>
      <c r="G151" s="94">
        <v>0</v>
      </c>
    </row>
    <row r="152" spans="1:7" x14ac:dyDescent="0.3">
      <c r="A152" s="408"/>
      <c r="B152" s="409"/>
      <c r="C152" s="409"/>
      <c r="D152" s="409"/>
      <c r="E152" s="409"/>
      <c r="F152" s="409"/>
      <c r="G152" s="410"/>
    </row>
    <row r="153" spans="1:7" x14ac:dyDescent="0.3">
      <c r="A153" s="411" t="s">
        <v>349</v>
      </c>
      <c r="B153" s="412"/>
      <c r="C153" s="412"/>
      <c r="D153" s="413"/>
      <c r="E153" s="411" t="s">
        <v>398</v>
      </c>
      <c r="F153" s="412"/>
      <c r="G153" s="413"/>
    </row>
    <row r="154" spans="1:7" x14ac:dyDescent="0.3">
      <c r="A154" s="414"/>
      <c r="B154" s="415"/>
      <c r="C154" s="415"/>
      <c r="D154" s="416"/>
      <c r="E154" s="90" t="s">
        <v>399</v>
      </c>
      <c r="F154" s="143" t="s">
        <v>406</v>
      </c>
      <c r="G154" s="92">
        <f>G148</f>
        <v>0</v>
      </c>
    </row>
    <row r="155" spans="1:7" x14ac:dyDescent="0.3">
      <c r="A155" s="417"/>
      <c r="B155" s="418"/>
      <c r="C155" s="418"/>
      <c r="D155" s="419"/>
      <c r="E155" s="138" t="s">
        <v>400</v>
      </c>
      <c r="F155" s="144" t="s">
        <v>407</v>
      </c>
      <c r="G155" s="139">
        <f>G151</f>
        <v>0</v>
      </c>
    </row>
    <row r="156" spans="1:7" x14ac:dyDescent="0.3">
      <c r="A156" s="417"/>
      <c r="B156" s="418"/>
      <c r="C156" s="418"/>
      <c r="D156" s="419"/>
      <c r="E156" s="6" t="s">
        <v>401</v>
      </c>
      <c r="F156" s="145" t="s">
        <v>410</v>
      </c>
      <c r="G156" s="146">
        <f>FATOR_K!$E$12</f>
        <v>1.9967159277504105</v>
      </c>
    </row>
    <row r="157" spans="1:7" x14ac:dyDescent="0.3">
      <c r="A157" s="417"/>
      <c r="B157" s="418"/>
      <c r="C157" s="418"/>
      <c r="D157" s="419"/>
      <c r="E157" s="6" t="s">
        <v>402</v>
      </c>
      <c r="F157" s="145" t="s">
        <v>411</v>
      </c>
      <c r="G157" s="147">
        <f>FATOR_K!$E$13</f>
        <v>1.0946907498631637</v>
      </c>
    </row>
    <row r="158" spans="1:7" x14ac:dyDescent="0.3">
      <c r="A158" s="417"/>
      <c r="B158" s="418"/>
      <c r="C158" s="418"/>
      <c r="D158" s="419"/>
      <c r="E158" s="148" t="s">
        <v>403</v>
      </c>
      <c r="F158" s="149" t="s">
        <v>408</v>
      </c>
      <c r="G158" s="150">
        <f>ROUND(SUM(G154:G155),2)</f>
        <v>0</v>
      </c>
    </row>
    <row r="159" spans="1:7" x14ac:dyDescent="0.3">
      <c r="A159" s="420"/>
      <c r="B159" s="421"/>
      <c r="C159" s="421"/>
      <c r="D159" s="422"/>
      <c r="E159" s="83" t="s">
        <v>404</v>
      </c>
      <c r="F159" s="141" t="s">
        <v>405</v>
      </c>
      <c r="G159" s="142">
        <f>ROUND((G154*G156)+(G155*G157),2)</f>
        <v>0</v>
      </c>
    </row>
    <row r="160" spans="1:7" ht="6" customHeight="1" x14ac:dyDescent="0.3">
      <c r="A160" s="402"/>
      <c r="B160" s="403"/>
      <c r="C160" s="403"/>
      <c r="D160" s="403"/>
      <c r="E160" s="403"/>
      <c r="F160" s="403"/>
      <c r="G160" s="404"/>
    </row>
    <row r="161" spans="1:7" x14ac:dyDescent="0.3">
      <c r="A161" s="423"/>
      <c r="B161" s="424"/>
      <c r="C161" s="424"/>
      <c r="D161" s="424"/>
      <c r="E161" s="424"/>
      <c r="F161" s="424"/>
      <c r="G161" s="425"/>
    </row>
    <row r="162" spans="1:7" x14ac:dyDescent="0.3">
      <c r="A162" s="152" t="s">
        <v>275</v>
      </c>
      <c r="B162" s="152"/>
      <c r="C162" s="426" t="str">
        <f>VLOOKUP(A162,'Planilha Orçamentária'!$B$6:$E$17,3,FALSE)</f>
        <v>Cadastro Social</v>
      </c>
      <c r="D162" s="427"/>
      <c r="E162" s="309" t="str">
        <f>VLOOKUP(A162,'Planilha Orçamentária'!$B$6:$E$17,4,FALSE)</f>
        <v>und</v>
      </c>
      <c r="F162" s="153">
        <f>G177</f>
        <v>0</v>
      </c>
      <c r="G162" s="153">
        <f>G178</f>
        <v>0</v>
      </c>
    </row>
    <row r="163" spans="1:7" x14ac:dyDescent="0.3">
      <c r="A163" s="423"/>
      <c r="B163" s="424"/>
      <c r="C163" s="424"/>
      <c r="D163" s="424"/>
      <c r="E163" s="424"/>
      <c r="F163" s="424"/>
      <c r="G163" s="425"/>
    </row>
    <row r="164" spans="1:7" x14ac:dyDescent="0.3">
      <c r="A164" s="5" t="s">
        <v>50</v>
      </c>
      <c r="B164" s="5" t="s">
        <v>324</v>
      </c>
      <c r="C164" s="5" t="s">
        <v>325</v>
      </c>
      <c r="D164" s="5" t="s">
        <v>326</v>
      </c>
      <c r="E164" s="5" t="s">
        <v>280</v>
      </c>
      <c r="F164" s="5" t="s">
        <v>327</v>
      </c>
      <c r="G164" s="5" t="s">
        <v>328</v>
      </c>
    </row>
    <row r="165" spans="1:7" x14ac:dyDescent="0.3">
      <c r="A165" s="86">
        <v>103584</v>
      </c>
      <c r="B165" s="86" t="s">
        <v>54</v>
      </c>
      <c r="C165" s="91" t="str">
        <f>IF(A165="","",VLOOKUP(A165,'CPU-Insumos_MO'!$B$8:$G$24,2,FALSE))</f>
        <v>Assistente Social (Pleno)</v>
      </c>
      <c r="D165" s="88" t="str">
        <f>IF(A165="","",VLOOKUP(A165,'CPU-Insumos_MO'!$B$8:$G$24,5,FALSE))</f>
        <v>h</v>
      </c>
      <c r="E165" s="90">
        <f>MC_CPU.007!C9</f>
        <v>1.5</v>
      </c>
      <c r="F165" s="88"/>
      <c r="G165" s="92">
        <f>F165*E165</f>
        <v>0</v>
      </c>
    </row>
    <row r="166" spans="1:7" x14ac:dyDescent="0.3">
      <c r="A166" s="86">
        <v>20031</v>
      </c>
      <c r="B166" s="86" t="s">
        <v>54</v>
      </c>
      <c r="C166" s="91" t="str">
        <f>IF(A166="","",VLOOKUP(A166,'CPU-Insumos_MO'!$B$8:$G$24,2,FALSE))</f>
        <v>Auxiliar Técnico</v>
      </c>
      <c r="D166" s="88" t="str">
        <f>IF(A166="","",VLOOKUP(A166,'CPU-Insumos_MO'!$B$8:$G$24,5,FALSE))</f>
        <v>h</v>
      </c>
      <c r="E166" s="90">
        <f>MC_CPU.007!C11</f>
        <v>1.5</v>
      </c>
      <c r="F166" s="88"/>
      <c r="G166" s="92">
        <f>F166*E166</f>
        <v>0</v>
      </c>
    </row>
    <row r="167" spans="1:7" x14ac:dyDescent="0.3">
      <c r="A167" s="405" t="s">
        <v>332</v>
      </c>
      <c r="B167" s="406"/>
      <c r="C167" s="406"/>
      <c r="D167" s="406"/>
      <c r="E167" s="406"/>
      <c r="F167" s="407"/>
      <c r="G167" s="93">
        <f>SUM(G165:G166)</f>
        <v>0</v>
      </c>
    </row>
    <row r="168" spans="1:7" x14ac:dyDescent="0.3">
      <c r="A168" s="369"/>
      <c r="B168" s="370"/>
      <c r="C168" s="370"/>
      <c r="D168" s="370"/>
      <c r="E168" s="370"/>
      <c r="F168" s="370"/>
      <c r="G168" s="371"/>
    </row>
    <row r="169" spans="1:7" x14ac:dyDescent="0.3">
      <c r="A169" s="5" t="s">
        <v>50</v>
      </c>
      <c r="B169" s="5" t="s">
        <v>324</v>
      </c>
      <c r="C169" s="5" t="s">
        <v>397</v>
      </c>
      <c r="D169" s="5" t="s">
        <v>326</v>
      </c>
      <c r="E169" s="5" t="s">
        <v>280</v>
      </c>
      <c r="F169" s="5" t="s">
        <v>327</v>
      </c>
      <c r="G169" s="5" t="s">
        <v>426</v>
      </c>
    </row>
    <row r="170" spans="1:7" x14ac:dyDescent="0.3">
      <c r="A170" s="405" t="s">
        <v>333</v>
      </c>
      <c r="B170" s="406"/>
      <c r="C170" s="406"/>
      <c r="D170" s="406"/>
      <c r="E170" s="406"/>
      <c r="F170" s="407"/>
      <c r="G170" s="94">
        <v>0</v>
      </c>
    </row>
    <row r="171" spans="1:7" x14ac:dyDescent="0.3">
      <c r="A171" s="408"/>
      <c r="B171" s="409"/>
      <c r="C171" s="409"/>
      <c r="D171" s="409"/>
      <c r="E171" s="409"/>
      <c r="F171" s="409"/>
      <c r="G171" s="410"/>
    </row>
    <row r="172" spans="1:7" x14ac:dyDescent="0.3">
      <c r="A172" s="411" t="s">
        <v>349</v>
      </c>
      <c r="B172" s="412"/>
      <c r="C172" s="412"/>
      <c r="D172" s="413"/>
      <c r="E172" s="411" t="s">
        <v>398</v>
      </c>
      <c r="F172" s="412"/>
      <c r="G172" s="413"/>
    </row>
    <row r="173" spans="1:7" x14ac:dyDescent="0.3">
      <c r="A173" s="414"/>
      <c r="B173" s="415"/>
      <c r="C173" s="415"/>
      <c r="D173" s="416"/>
      <c r="E173" s="90" t="s">
        <v>399</v>
      </c>
      <c r="F173" s="143" t="s">
        <v>406</v>
      </c>
      <c r="G173" s="92">
        <f>G167</f>
        <v>0</v>
      </c>
    </row>
    <row r="174" spans="1:7" x14ac:dyDescent="0.3">
      <c r="A174" s="417"/>
      <c r="B174" s="418"/>
      <c r="C174" s="418"/>
      <c r="D174" s="419"/>
      <c r="E174" s="138" t="s">
        <v>400</v>
      </c>
      <c r="F174" s="144" t="s">
        <v>407</v>
      </c>
      <c r="G174" s="139">
        <f>G170</f>
        <v>0</v>
      </c>
    </row>
    <row r="175" spans="1:7" x14ac:dyDescent="0.3">
      <c r="A175" s="417"/>
      <c r="B175" s="418"/>
      <c r="C175" s="418"/>
      <c r="D175" s="419"/>
      <c r="E175" s="6" t="s">
        <v>401</v>
      </c>
      <c r="F175" s="145" t="s">
        <v>410</v>
      </c>
      <c r="G175" s="146">
        <f>FATOR_K!$E$12</f>
        <v>1.9967159277504105</v>
      </c>
    </row>
    <row r="176" spans="1:7" x14ac:dyDescent="0.3">
      <c r="A176" s="417"/>
      <c r="B176" s="418"/>
      <c r="C176" s="418"/>
      <c r="D176" s="419"/>
      <c r="E176" s="6" t="s">
        <v>402</v>
      </c>
      <c r="F176" s="145" t="s">
        <v>411</v>
      </c>
      <c r="G176" s="147">
        <f>FATOR_K!$E$13</f>
        <v>1.0946907498631637</v>
      </c>
    </row>
    <row r="177" spans="1:7" x14ac:dyDescent="0.3">
      <c r="A177" s="417"/>
      <c r="B177" s="418"/>
      <c r="C177" s="418"/>
      <c r="D177" s="419"/>
      <c r="E177" s="148" t="s">
        <v>403</v>
      </c>
      <c r="F177" s="149" t="s">
        <v>408</v>
      </c>
      <c r="G177" s="150">
        <f>ROUND(SUM(G173:G174),2)</f>
        <v>0</v>
      </c>
    </row>
    <row r="178" spans="1:7" x14ac:dyDescent="0.3">
      <c r="A178" s="420"/>
      <c r="B178" s="421"/>
      <c r="C178" s="421"/>
      <c r="D178" s="422"/>
      <c r="E178" s="83" t="s">
        <v>404</v>
      </c>
      <c r="F178" s="141" t="s">
        <v>405</v>
      </c>
      <c r="G178" s="142">
        <f>ROUND((G173*G175)+(G174*G176),2)</f>
        <v>0</v>
      </c>
    </row>
    <row r="179" spans="1:7" ht="6" customHeight="1" x14ac:dyDescent="0.3">
      <c r="A179" s="402"/>
      <c r="B179" s="403"/>
      <c r="C179" s="403"/>
      <c r="D179" s="403"/>
      <c r="E179" s="403"/>
      <c r="F179" s="403"/>
      <c r="G179" s="404"/>
    </row>
    <row r="180" spans="1:7" x14ac:dyDescent="0.3">
      <c r="A180" s="423"/>
      <c r="B180" s="424"/>
      <c r="C180" s="424"/>
      <c r="D180" s="424"/>
      <c r="E180" s="424"/>
      <c r="F180" s="424"/>
      <c r="G180" s="425"/>
    </row>
    <row r="181" spans="1:7" x14ac:dyDescent="0.3">
      <c r="A181" s="152" t="s">
        <v>276</v>
      </c>
      <c r="B181" s="152"/>
      <c r="C181" s="426" t="str">
        <f>VLOOKUP(A181,'Planilha Orçamentária'!$B$6:$E$17,3,FALSE)</f>
        <v>Projeto Urbanístico de Regularização Fundiária</v>
      </c>
      <c r="D181" s="427"/>
      <c r="E181" s="309" t="str">
        <f>VLOOKUP(A181,'Planilha Orçamentária'!$B$6:$E$17,4,FALSE)</f>
        <v>m²</v>
      </c>
      <c r="F181" s="153">
        <f>G197</f>
        <v>0</v>
      </c>
      <c r="G181" s="153">
        <f>G198</f>
        <v>0</v>
      </c>
    </row>
    <row r="182" spans="1:7" x14ac:dyDescent="0.3">
      <c r="A182" s="423"/>
      <c r="B182" s="424"/>
      <c r="C182" s="424"/>
      <c r="D182" s="424"/>
      <c r="E182" s="424"/>
      <c r="F182" s="424"/>
      <c r="G182" s="425"/>
    </row>
    <row r="183" spans="1:7" x14ac:dyDescent="0.3">
      <c r="A183" s="5" t="s">
        <v>50</v>
      </c>
      <c r="B183" s="5" t="s">
        <v>324</v>
      </c>
      <c r="C183" s="5" t="s">
        <v>325</v>
      </c>
      <c r="D183" s="5" t="s">
        <v>326</v>
      </c>
      <c r="E183" s="5" t="s">
        <v>280</v>
      </c>
      <c r="F183" s="5" t="s">
        <v>327</v>
      </c>
      <c r="G183" s="5" t="s">
        <v>328</v>
      </c>
    </row>
    <row r="184" spans="1:7" x14ac:dyDescent="0.3">
      <c r="A184" s="86">
        <v>33952</v>
      </c>
      <c r="B184" s="86" t="s">
        <v>54</v>
      </c>
      <c r="C184" s="91" t="str">
        <f>IF(A184="","",VLOOKUP(A184,'CPU-Insumos_MO'!$B$8:$G$24,2,FALSE))</f>
        <v>Arquiteto de Obra Pleno</v>
      </c>
      <c r="D184" s="88" t="str">
        <f>IF(A184="","",VLOOKUP(A184,'CPU-Insumos_MO'!$B$8:$G$24,5,FALSE))</f>
        <v>h</v>
      </c>
      <c r="E184" s="90">
        <f>MC_CPU.008!E9</f>
        <v>1.7600000000000001E-3</v>
      </c>
      <c r="F184" s="88"/>
      <c r="G184" s="92">
        <f>F184*E184</f>
        <v>0</v>
      </c>
    </row>
    <row r="185" spans="1:7" x14ac:dyDescent="0.3">
      <c r="A185" s="86">
        <v>2358</v>
      </c>
      <c r="B185" s="86" t="s">
        <v>54</v>
      </c>
      <c r="C185" s="91" t="str">
        <f>IF(A185="","",VLOOKUP(A185,'CPU-Insumos_MO'!$B$8:$G$24,2,FALSE))</f>
        <v>Desenhista Projetista (Horista)</v>
      </c>
      <c r="D185" s="88" t="str">
        <f>IF(A185="","",VLOOKUP(A185,'CPU-Insumos_MO'!$B$8:$G$24,5,FALSE))</f>
        <v>h</v>
      </c>
      <c r="E185" s="90">
        <f>MC_CPU.008!E11</f>
        <v>8.8000000000000003E-4</v>
      </c>
      <c r="F185" s="88"/>
      <c r="G185" s="92">
        <f>F185*E185</f>
        <v>0</v>
      </c>
    </row>
    <row r="186" spans="1:7" x14ac:dyDescent="0.3">
      <c r="A186" s="405" t="s">
        <v>332</v>
      </c>
      <c r="B186" s="406"/>
      <c r="C186" s="406"/>
      <c r="D186" s="406"/>
      <c r="E186" s="406"/>
      <c r="F186" s="407"/>
      <c r="G186" s="93">
        <f>SUM(G184:G185)</f>
        <v>0</v>
      </c>
    </row>
    <row r="187" spans="1:7" x14ac:dyDescent="0.3">
      <c r="A187" s="369"/>
      <c r="B187" s="370"/>
      <c r="C187" s="370"/>
      <c r="D187" s="370"/>
      <c r="E187" s="370"/>
      <c r="F187" s="370"/>
      <c r="G187" s="371"/>
    </row>
    <row r="188" spans="1:7" x14ac:dyDescent="0.3">
      <c r="A188" s="5" t="s">
        <v>50</v>
      </c>
      <c r="B188" s="5" t="s">
        <v>324</v>
      </c>
      <c r="C188" s="5" t="s">
        <v>397</v>
      </c>
      <c r="D188" s="5" t="s">
        <v>326</v>
      </c>
      <c r="E188" s="5" t="s">
        <v>280</v>
      </c>
      <c r="F188" s="5" t="s">
        <v>327</v>
      </c>
      <c r="G188" s="5" t="s">
        <v>426</v>
      </c>
    </row>
    <row r="189" spans="1:7" x14ac:dyDescent="0.3">
      <c r="A189" s="86" t="s">
        <v>730</v>
      </c>
      <c r="B189" s="86" t="s">
        <v>778</v>
      </c>
      <c r="C189" s="156" t="str">
        <f>IF(A189="","",VLOOKUP(A189,'CPU-Insumos_DD'!$B$8:$E$18,2,FALSE))</f>
        <v>Impressão A1</v>
      </c>
      <c r="D189" s="86" t="str">
        <f>IF(A189="","",VLOOKUP(A189,'CPU-Insumos_DD'!$B$8:$E$18,3,FALSE))</f>
        <v>und</v>
      </c>
      <c r="E189" s="86">
        <f>MC_CPU.008!E13</f>
        <v>2.0000000000000001E-4</v>
      </c>
      <c r="F189" s="88"/>
      <c r="G189" s="157">
        <f>F189*E189</f>
        <v>0</v>
      </c>
    </row>
    <row r="190" spans="1:7" x14ac:dyDescent="0.3">
      <c r="A190" s="405" t="s">
        <v>333</v>
      </c>
      <c r="B190" s="406"/>
      <c r="C190" s="406"/>
      <c r="D190" s="406"/>
      <c r="E190" s="406"/>
      <c r="F190" s="407"/>
      <c r="G190" s="94">
        <v>0</v>
      </c>
    </row>
    <row r="191" spans="1:7" x14ac:dyDescent="0.3">
      <c r="A191" s="408"/>
      <c r="B191" s="409"/>
      <c r="C191" s="409"/>
      <c r="D191" s="409"/>
      <c r="E191" s="409"/>
      <c r="F191" s="409"/>
      <c r="G191" s="410"/>
    </row>
    <row r="192" spans="1:7" x14ac:dyDescent="0.3">
      <c r="A192" s="411" t="s">
        <v>349</v>
      </c>
      <c r="B192" s="412"/>
      <c r="C192" s="412"/>
      <c r="D192" s="413"/>
      <c r="E192" s="411" t="s">
        <v>398</v>
      </c>
      <c r="F192" s="412"/>
      <c r="G192" s="413"/>
    </row>
    <row r="193" spans="1:7" x14ac:dyDescent="0.3">
      <c r="A193" s="414"/>
      <c r="B193" s="415"/>
      <c r="C193" s="415"/>
      <c r="D193" s="416"/>
      <c r="E193" s="90" t="s">
        <v>399</v>
      </c>
      <c r="F193" s="143" t="s">
        <v>406</v>
      </c>
      <c r="G193" s="92">
        <f>G186</f>
        <v>0</v>
      </c>
    </row>
    <row r="194" spans="1:7" x14ac:dyDescent="0.3">
      <c r="A194" s="417"/>
      <c r="B194" s="418"/>
      <c r="C194" s="418"/>
      <c r="D194" s="419"/>
      <c r="E194" s="138" t="s">
        <v>400</v>
      </c>
      <c r="F194" s="144" t="s">
        <v>407</v>
      </c>
      <c r="G194" s="139">
        <f>G190</f>
        <v>0</v>
      </c>
    </row>
    <row r="195" spans="1:7" x14ac:dyDescent="0.3">
      <c r="A195" s="417"/>
      <c r="B195" s="418"/>
      <c r="C195" s="418"/>
      <c r="D195" s="419"/>
      <c r="E195" s="6" t="s">
        <v>401</v>
      </c>
      <c r="F195" s="145" t="s">
        <v>410</v>
      </c>
      <c r="G195" s="146">
        <f>FATOR_K!$E$12</f>
        <v>1.9967159277504105</v>
      </c>
    </row>
    <row r="196" spans="1:7" x14ac:dyDescent="0.3">
      <c r="A196" s="417"/>
      <c r="B196" s="418"/>
      <c r="C196" s="418"/>
      <c r="D196" s="419"/>
      <c r="E196" s="6" t="s">
        <v>402</v>
      </c>
      <c r="F196" s="145" t="s">
        <v>411</v>
      </c>
      <c r="G196" s="147">
        <f>FATOR_K!$E$13</f>
        <v>1.0946907498631637</v>
      </c>
    </row>
    <row r="197" spans="1:7" x14ac:dyDescent="0.3">
      <c r="A197" s="417"/>
      <c r="B197" s="418"/>
      <c r="C197" s="418"/>
      <c r="D197" s="419"/>
      <c r="E197" s="148" t="s">
        <v>403</v>
      </c>
      <c r="F197" s="149" t="s">
        <v>408</v>
      </c>
      <c r="G197" s="150">
        <f>ROUND(SUM(G193:G194),2)</f>
        <v>0</v>
      </c>
    </row>
    <row r="198" spans="1:7" x14ac:dyDescent="0.3">
      <c r="A198" s="420"/>
      <c r="B198" s="421"/>
      <c r="C198" s="421"/>
      <c r="D198" s="422"/>
      <c r="E198" s="83" t="s">
        <v>404</v>
      </c>
      <c r="F198" s="141" t="s">
        <v>405</v>
      </c>
      <c r="G198" s="142">
        <f>ROUND((G193*G195)+(G194*G196),2)</f>
        <v>0</v>
      </c>
    </row>
    <row r="199" spans="1:7" ht="5.4" customHeight="1" x14ac:dyDescent="0.3">
      <c r="A199" s="402"/>
      <c r="B199" s="403"/>
      <c r="C199" s="403"/>
      <c r="D199" s="403"/>
      <c r="E199" s="403"/>
      <c r="F199" s="403"/>
      <c r="G199" s="404"/>
    </row>
    <row r="200" spans="1:7" x14ac:dyDescent="0.3">
      <c r="A200" s="423"/>
      <c r="B200" s="424"/>
      <c r="C200" s="424"/>
      <c r="D200" s="424"/>
      <c r="E200" s="424"/>
      <c r="F200" s="424"/>
      <c r="G200" s="425"/>
    </row>
    <row r="201" spans="1:7" x14ac:dyDescent="0.3">
      <c r="A201" s="152" t="s">
        <v>277</v>
      </c>
      <c r="B201" s="152"/>
      <c r="C201" s="426" t="str">
        <f>VLOOKUP(A201,'Planilha Orçamentária'!$B$6:$E$17,3,FALSE)</f>
        <v>Estudo Técnico Ambiental</v>
      </c>
      <c r="D201" s="427"/>
      <c r="E201" s="309" t="str">
        <f>VLOOKUP(A201,'Planilha Orçamentária'!$B$6:$E$17,4,FALSE)</f>
        <v>und</v>
      </c>
      <c r="F201" s="153">
        <f>G217</f>
        <v>0</v>
      </c>
      <c r="G201" s="153">
        <f>G218</f>
        <v>0</v>
      </c>
    </row>
    <row r="202" spans="1:7" x14ac:dyDescent="0.3">
      <c r="A202" s="423"/>
      <c r="B202" s="424"/>
      <c r="C202" s="424"/>
      <c r="D202" s="424"/>
      <c r="E202" s="424"/>
      <c r="F202" s="424"/>
      <c r="G202" s="425"/>
    </row>
    <row r="203" spans="1:7" x14ac:dyDescent="0.3">
      <c r="A203" s="5" t="s">
        <v>50</v>
      </c>
      <c r="B203" s="5" t="s">
        <v>324</v>
      </c>
      <c r="C203" s="5" t="s">
        <v>325</v>
      </c>
      <c r="D203" s="5" t="s">
        <v>326</v>
      </c>
      <c r="E203" s="5" t="s">
        <v>280</v>
      </c>
      <c r="F203" s="5" t="s">
        <v>327</v>
      </c>
      <c r="G203" s="5" t="s">
        <v>328</v>
      </c>
    </row>
    <row r="204" spans="1:7" x14ac:dyDescent="0.3">
      <c r="A204" s="86">
        <v>20084</v>
      </c>
      <c r="B204" s="86" t="s">
        <v>54</v>
      </c>
      <c r="C204" s="91" t="str">
        <f>IF(A204="","",VLOOKUP(A204,'CPU-Insumos_MO'!$B$8:$G$24,2,FALSE))</f>
        <v>Especialista em meio ambiente</v>
      </c>
      <c r="D204" s="88" t="str">
        <f>IF(A204="","",VLOOKUP(A204,'CPU-Insumos_MO'!$B$8:$G$24,5,FALSE))</f>
        <v>h</v>
      </c>
      <c r="E204" s="90">
        <f>MC_CPU.009!E9</f>
        <v>0.35199999999999998</v>
      </c>
      <c r="F204" s="88"/>
      <c r="G204" s="92">
        <f>F204*E204</f>
        <v>0</v>
      </c>
    </row>
    <row r="205" spans="1:7" x14ac:dyDescent="0.3">
      <c r="A205" s="86">
        <v>20070</v>
      </c>
      <c r="B205" s="86" t="s">
        <v>54</v>
      </c>
      <c r="C205" s="91" t="str">
        <f>IF(A205="","",VLOOKUP(A205,'CPU-Insumos_MO'!$B$8:$G$24,2,FALSE))</f>
        <v>Engenheiro Junior</v>
      </c>
      <c r="D205" s="88" t="str">
        <f>IF(A205="","",VLOOKUP(A205,'CPU-Insumos_MO'!$B$8:$G$24,5,FALSE))</f>
        <v>h</v>
      </c>
      <c r="E205" s="90">
        <f>MC_CPU.009!E11</f>
        <v>0.35199999999999998</v>
      </c>
      <c r="F205" s="88"/>
      <c r="G205" s="92">
        <f>F205*E205</f>
        <v>0</v>
      </c>
    </row>
    <row r="206" spans="1:7" x14ac:dyDescent="0.3">
      <c r="A206" s="86">
        <v>532</v>
      </c>
      <c r="B206" s="86" t="s">
        <v>55</v>
      </c>
      <c r="C206" s="91" t="str">
        <f>IF(A206="","",VLOOKUP(A206,'CPU-Insumos_MO'!$B$8:$G$24,2,FALSE))</f>
        <v>Auxiliar Técnico / Assistente de Engenharia</v>
      </c>
      <c r="D206" s="88" t="str">
        <f>IF(A206="","",VLOOKUP(A206,'CPU-Insumos_MO'!$B$8:$G$24,5,FALSE))</f>
        <v>h</v>
      </c>
      <c r="E206" s="90">
        <f>MC_CPU.009!E13</f>
        <v>0.35199999999999998</v>
      </c>
      <c r="F206" s="88"/>
      <c r="G206" s="92">
        <f>F206*E206</f>
        <v>0</v>
      </c>
    </row>
    <row r="207" spans="1:7" x14ac:dyDescent="0.3">
      <c r="A207" s="405" t="s">
        <v>332</v>
      </c>
      <c r="B207" s="406"/>
      <c r="C207" s="406"/>
      <c r="D207" s="406"/>
      <c r="E207" s="406"/>
      <c r="F207" s="407"/>
      <c r="G207" s="93">
        <f>SUM(G204:G206)</f>
        <v>0</v>
      </c>
    </row>
    <row r="208" spans="1:7" x14ac:dyDescent="0.3">
      <c r="A208" s="369"/>
      <c r="B208" s="370"/>
      <c r="C208" s="370"/>
      <c r="D208" s="370"/>
      <c r="E208" s="370"/>
      <c r="F208" s="370"/>
      <c r="G208" s="371"/>
    </row>
    <row r="209" spans="1:7" x14ac:dyDescent="0.3">
      <c r="A209" s="5" t="s">
        <v>50</v>
      </c>
      <c r="B209" s="5" t="s">
        <v>324</v>
      </c>
      <c r="C209" s="5" t="s">
        <v>397</v>
      </c>
      <c r="D209" s="5" t="s">
        <v>326</v>
      </c>
      <c r="E209" s="5" t="s">
        <v>280</v>
      </c>
      <c r="F209" s="5" t="s">
        <v>327</v>
      </c>
      <c r="G209" s="5" t="s">
        <v>426</v>
      </c>
    </row>
    <row r="210" spans="1:7" x14ac:dyDescent="0.3">
      <c r="A210" s="405" t="s">
        <v>333</v>
      </c>
      <c r="B210" s="406"/>
      <c r="C210" s="406"/>
      <c r="D210" s="406"/>
      <c r="E210" s="406"/>
      <c r="F210" s="407"/>
      <c r="G210" s="94">
        <v>0</v>
      </c>
    </row>
    <row r="211" spans="1:7" x14ac:dyDescent="0.3">
      <c r="A211" s="408"/>
      <c r="B211" s="409"/>
      <c r="C211" s="409"/>
      <c r="D211" s="409"/>
      <c r="E211" s="409"/>
      <c r="F211" s="409"/>
      <c r="G211" s="410"/>
    </row>
    <row r="212" spans="1:7" x14ac:dyDescent="0.3">
      <c r="A212" s="411" t="s">
        <v>349</v>
      </c>
      <c r="B212" s="412"/>
      <c r="C212" s="412"/>
      <c r="D212" s="413"/>
      <c r="E212" s="411" t="s">
        <v>398</v>
      </c>
      <c r="F212" s="412"/>
      <c r="G212" s="413"/>
    </row>
    <row r="213" spans="1:7" x14ac:dyDescent="0.3">
      <c r="A213" s="414"/>
      <c r="B213" s="415"/>
      <c r="C213" s="415"/>
      <c r="D213" s="416"/>
      <c r="E213" s="90" t="s">
        <v>399</v>
      </c>
      <c r="F213" s="143" t="s">
        <v>406</v>
      </c>
      <c r="G213" s="92">
        <f>G207</f>
        <v>0</v>
      </c>
    </row>
    <row r="214" spans="1:7" x14ac:dyDescent="0.3">
      <c r="A214" s="417"/>
      <c r="B214" s="418"/>
      <c r="C214" s="418"/>
      <c r="D214" s="419"/>
      <c r="E214" s="138" t="s">
        <v>400</v>
      </c>
      <c r="F214" s="144" t="s">
        <v>407</v>
      </c>
      <c r="G214" s="139">
        <f>G210</f>
        <v>0</v>
      </c>
    </row>
    <row r="215" spans="1:7" x14ac:dyDescent="0.3">
      <c r="A215" s="417"/>
      <c r="B215" s="418"/>
      <c r="C215" s="418"/>
      <c r="D215" s="419"/>
      <c r="E215" s="6" t="s">
        <v>401</v>
      </c>
      <c r="F215" s="145" t="s">
        <v>410</v>
      </c>
      <c r="G215" s="146">
        <f>FATOR_K!$E$12</f>
        <v>1.9967159277504105</v>
      </c>
    </row>
    <row r="216" spans="1:7" x14ac:dyDescent="0.3">
      <c r="A216" s="417"/>
      <c r="B216" s="418"/>
      <c r="C216" s="418"/>
      <c r="D216" s="419"/>
      <c r="E216" s="6" t="s">
        <v>402</v>
      </c>
      <c r="F216" s="145" t="s">
        <v>411</v>
      </c>
      <c r="G216" s="147">
        <f>FATOR_K!$E$13</f>
        <v>1.0946907498631637</v>
      </c>
    </row>
    <row r="217" spans="1:7" x14ac:dyDescent="0.3">
      <c r="A217" s="417"/>
      <c r="B217" s="418"/>
      <c r="C217" s="418"/>
      <c r="D217" s="419"/>
      <c r="E217" s="148" t="s">
        <v>403</v>
      </c>
      <c r="F217" s="149" t="s">
        <v>408</v>
      </c>
      <c r="G217" s="150">
        <f>ROUND(SUM(G213:G214),2)</f>
        <v>0</v>
      </c>
    </row>
    <row r="218" spans="1:7" x14ac:dyDescent="0.3">
      <c r="A218" s="420"/>
      <c r="B218" s="421"/>
      <c r="C218" s="421"/>
      <c r="D218" s="422"/>
      <c r="E218" s="83" t="s">
        <v>404</v>
      </c>
      <c r="F218" s="141" t="s">
        <v>405</v>
      </c>
      <c r="G218" s="142">
        <f>ROUND((G213*G215)+(G214*G216),2)</f>
        <v>0</v>
      </c>
    </row>
    <row r="219" spans="1:7" ht="6" customHeight="1" x14ac:dyDescent="0.3">
      <c r="A219" s="402"/>
      <c r="B219" s="403"/>
      <c r="C219" s="403"/>
      <c r="D219" s="403"/>
      <c r="E219" s="403"/>
      <c r="F219" s="403"/>
      <c r="G219" s="404"/>
    </row>
    <row r="220" spans="1:7" x14ac:dyDescent="0.3">
      <c r="A220" s="423"/>
      <c r="B220" s="424"/>
      <c r="C220" s="424"/>
      <c r="D220" s="424"/>
      <c r="E220" s="424"/>
      <c r="F220" s="424"/>
      <c r="G220" s="425"/>
    </row>
    <row r="221" spans="1:7" x14ac:dyDescent="0.3">
      <c r="A221" s="152" t="s">
        <v>278</v>
      </c>
      <c r="B221" s="152"/>
      <c r="C221" s="426" t="str">
        <f>VLOOKUP(A221,'Planilha Orçamentária'!$B$6:$E$17,3,FALSE)</f>
        <v>Estudo Técnico Geológico (Riscos em Geral)</v>
      </c>
      <c r="D221" s="427"/>
      <c r="E221" s="309" t="str">
        <f>VLOOKUP(A221,'Planilha Orçamentária'!$B$6:$E$17,4,FALSE)</f>
        <v>und</v>
      </c>
      <c r="F221" s="153">
        <f>G238</f>
        <v>0</v>
      </c>
      <c r="G221" s="153">
        <f>G239</f>
        <v>0</v>
      </c>
    </row>
    <row r="222" spans="1:7" x14ac:dyDescent="0.3">
      <c r="A222" s="423"/>
      <c r="B222" s="424"/>
      <c r="C222" s="424"/>
      <c r="D222" s="424"/>
      <c r="E222" s="424"/>
      <c r="F222" s="424"/>
      <c r="G222" s="425"/>
    </row>
    <row r="223" spans="1:7" x14ac:dyDescent="0.3">
      <c r="A223" s="5" t="s">
        <v>50</v>
      </c>
      <c r="B223" s="5" t="s">
        <v>324</v>
      </c>
      <c r="C223" s="5" t="s">
        <v>325</v>
      </c>
      <c r="D223" s="5" t="s">
        <v>326</v>
      </c>
      <c r="E223" s="5" t="s">
        <v>280</v>
      </c>
      <c r="F223" s="5" t="s">
        <v>327</v>
      </c>
      <c r="G223" s="5" t="s">
        <v>328</v>
      </c>
    </row>
    <row r="224" spans="1:7" x14ac:dyDescent="0.3">
      <c r="A224" s="86">
        <v>2707</v>
      </c>
      <c r="B224" s="86" t="s">
        <v>55</v>
      </c>
      <c r="C224" s="91" t="str">
        <f>IF(A224="","",VLOOKUP(A224,'CPU-Insumos_MO'!$B$8:$G$24,2,FALSE))</f>
        <v>Engenheiro Civil Pleno</v>
      </c>
      <c r="D224" s="88" t="str">
        <f>IF(A224="","",VLOOKUP(A224,'CPU-Insumos_MO'!$B$8:$G$24,5,FALSE))</f>
        <v>h</v>
      </c>
      <c r="E224" s="90">
        <f>MC_CPU.010!E9</f>
        <v>0.35199999999999998</v>
      </c>
      <c r="F224" s="88"/>
      <c r="G224" s="92">
        <f>F224*E224</f>
        <v>0</v>
      </c>
    </row>
    <row r="225" spans="1:7" x14ac:dyDescent="0.3">
      <c r="A225" s="86">
        <v>6175</v>
      </c>
      <c r="B225" s="86" t="s">
        <v>55</v>
      </c>
      <c r="C225" s="91" t="str">
        <f>IF(A225="","",VLOOKUP(A225,'CPU-Insumos_MO'!$B$8:$G$24,2,FALSE))</f>
        <v>Técnico em Sondagem</v>
      </c>
      <c r="D225" s="88" t="str">
        <f>IF(A225="","",VLOOKUP(A225,'CPU-Insumos_MO'!$B$8:$G$24,5,FALSE))</f>
        <v>h</v>
      </c>
      <c r="E225" s="90">
        <f>MC_CPU.010!E11</f>
        <v>0.35199999999999998</v>
      </c>
      <c r="F225" s="88"/>
      <c r="G225" s="92">
        <f>F225*E225</f>
        <v>0</v>
      </c>
    </row>
    <row r="226" spans="1:7" x14ac:dyDescent="0.3">
      <c r="A226" s="86">
        <v>532</v>
      </c>
      <c r="B226" s="86" t="s">
        <v>55</v>
      </c>
      <c r="C226" s="91" t="str">
        <f>IF(A226="","",VLOOKUP(A226,'CPU-Insumos_MO'!$B$8:$G$24,2,FALSE))</f>
        <v>Auxiliar Técnico / Assistente de Engenharia</v>
      </c>
      <c r="D226" s="88" t="str">
        <f>IF(A226="","",VLOOKUP(A226,'CPU-Insumos_MO'!$B$8:$G$24,5,FALSE))</f>
        <v>h</v>
      </c>
      <c r="E226" s="90">
        <f>MC_CPU.010!E13</f>
        <v>0.35199999999999998</v>
      </c>
      <c r="F226" s="88"/>
      <c r="G226" s="92">
        <f t="shared" ref="G226:G227" si="4">F226*E226</f>
        <v>0</v>
      </c>
    </row>
    <row r="227" spans="1:7" x14ac:dyDescent="0.3">
      <c r="A227" s="86">
        <v>20002</v>
      </c>
      <c r="B227" s="86" t="s">
        <v>54</v>
      </c>
      <c r="C227" s="91" t="str">
        <f>IF(A227="","",VLOOKUP(A227,'CPU-Insumos_MO'!$B$8:$G$24,2,FALSE))</f>
        <v>Servente</v>
      </c>
      <c r="D227" s="88" t="str">
        <f>IF(A227="","",VLOOKUP(A227,'CPU-Insumos_MO'!$B$8:$G$24,5,FALSE))</f>
        <v>h</v>
      </c>
      <c r="E227" s="90">
        <f>MC_CPU.010!E15</f>
        <v>0.35199999999999998</v>
      </c>
      <c r="F227" s="88"/>
      <c r="G227" s="92">
        <f t="shared" si="4"/>
        <v>0</v>
      </c>
    </row>
    <row r="228" spans="1:7" x14ac:dyDescent="0.3">
      <c r="A228" s="405" t="s">
        <v>332</v>
      </c>
      <c r="B228" s="406"/>
      <c r="C228" s="406"/>
      <c r="D228" s="406"/>
      <c r="E228" s="406"/>
      <c r="F228" s="407"/>
      <c r="G228" s="93">
        <f>SUM(G224:G227)</f>
        <v>0</v>
      </c>
    </row>
    <row r="229" spans="1:7" x14ac:dyDescent="0.3">
      <c r="A229" s="369"/>
      <c r="B229" s="370"/>
      <c r="C229" s="370"/>
      <c r="D229" s="370"/>
      <c r="E229" s="370"/>
      <c r="F229" s="370"/>
      <c r="G229" s="371"/>
    </row>
    <row r="230" spans="1:7" x14ac:dyDescent="0.3">
      <c r="A230" s="5" t="s">
        <v>50</v>
      </c>
      <c r="B230" s="5" t="s">
        <v>324</v>
      </c>
      <c r="C230" s="5" t="s">
        <v>397</v>
      </c>
      <c r="D230" s="5" t="s">
        <v>326</v>
      </c>
      <c r="E230" s="5" t="s">
        <v>280</v>
      </c>
      <c r="F230" s="5" t="s">
        <v>327</v>
      </c>
      <c r="G230" s="5" t="s">
        <v>426</v>
      </c>
    </row>
    <row r="231" spans="1:7" x14ac:dyDescent="0.3">
      <c r="A231" s="405" t="s">
        <v>333</v>
      </c>
      <c r="B231" s="406"/>
      <c r="C231" s="406"/>
      <c r="D231" s="406"/>
      <c r="E231" s="406"/>
      <c r="F231" s="407"/>
      <c r="G231" s="94">
        <v>0</v>
      </c>
    </row>
    <row r="232" spans="1:7" x14ac:dyDescent="0.3">
      <c r="A232" s="408"/>
      <c r="B232" s="409"/>
      <c r="C232" s="409"/>
      <c r="D232" s="409"/>
      <c r="E232" s="409"/>
      <c r="F232" s="409"/>
      <c r="G232" s="410"/>
    </row>
    <row r="233" spans="1:7" x14ac:dyDescent="0.3">
      <c r="A233" s="411" t="s">
        <v>349</v>
      </c>
      <c r="B233" s="412"/>
      <c r="C233" s="412"/>
      <c r="D233" s="413"/>
      <c r="E233" s="411" t="s">
        <v>398</v>
      </c>
      <c r="F233" s="412"/>
      <c r="G233" s="413"/>
    </row>
    <row r="234" spans="1:7" x14ac:dyDescent="0.3">
      <c r="A234" s="414"/>
      <c r="B234" s="415"/>
      <c r="C234" s="415"/>
      <c r="D234" s="416"/>
      <c r="E234" s="90" t="s">
        <v>399</v>
      </c>
      <c r="F234" s="143" t="s">
        <v>406</v>
      </c>
      <c r="G234" s="92">
        <f>G228</f>
        <v>0</v>
      </c>
    </row>
    <row r="235" spans="1:7" x14ac:dyDescent="0.3">
      <c r="A235" s="417"/>
      <c r="B235" s="418"/>
      <c r="C235" s="418"/>
      <c r="D235" s="419"/>
      <c r="E235" s="138" t="s">
        <v>400</v>
      </c>
      <c r="F235" s="144" t="s">
        <v>407</v>
      </c>
      <c r="G235" s="139">
        <f>G231</f>
        <v>0</v>
      </c>
    </row>
    <row r="236" spans="1:7" x14ac:dyDescent="0.3">
      <c r="A236" s="417"/>
      <c r="B236" s="418"/>
      <c r="C236" s="418"/>
      <c r="D236" s="419"/>
      <c r="E236" s="6" t="s">
        <v>401</v>
      </c>
      <c r="F236" s="145" t="s">
        <v>410</v>
      </c>
      <c r="G236" s="146">
        <f>FATOR_K!$E$12</f>
        <v>1.9967159277504105</v>
      </c>
    </row>
    <row r="237" spans="1:7" x14ac:dyDescent="0.3">
      <c r="A237" s="417"/>
      <c r="B237" s="418"/>
      <c r="C237" s="418"/>
      <c r="D237" s="419"/>
      <c r="E237" s="6" t="s">
        <v>402</v>
      </c>
      <c r="F237" s="145" t="s">
        <v>411</v>
      </c>
      <c r="G237" s="147">
        <f>FATOR_K!$E$13</f>
        <v>1.0946907498631637</v>
      </c>
    </row>
    <row r="238" spans="1:7" x14ac:dyDescent="0.3">
      <c r="A238" s="417"/>
      <c r="B238" s="418"/>
      <c r="C238" s="418"/>
      <c r="D238" s="419"/>
      <c r="E238" s="148" t="s">
        <v>403</v>
      </c>
      <c r="F238" s="149" t="s">
        <v>408</v>
      </c>
      <c r="G238" s="150">
        <f>ROUND(SUM(G234:G235),2)</f>
        <v>0</v>
      </c>
    </row>
    <row r="239" spans="1:7" x14ac:dyDescent="0.3">
      <c r="A239" s="420"/>
      <c r="B239" s="421"/>
      <c r="C239" s="421"/>
      <c r="D239" s="422"/>
      <c r="E239" s="83" t="s">
        <v>404</v>
      </c>
      <c r="F239" s="141" t="s">
        <v>405</v>
      </c>
      <c r="G239" s="142">
        <f>ROUND((G234*G236)+(G235*G237),2)</f>
        <v>0</v>
      </c>
    </row>
    <row r="240" spans="1:7" ht="6" customHeight="1" x14ac:dyDescent="0.3">
      <c r="A240" s="402"/>
      <c r="B240" s="403"/>
      <c r="C240" s="403"/>
      <c r="D240" s="403"/>
      <c r="E240" s="403"/>
      <c r="F240" s="403"/>
      <c r="G240" s="404"/>
    </row>
    <row r="241" spans="1:7" x14ac:dyDescent="0.3">
      <c r="A241" s="423"/>
      <c r="B241" s="424"/>
      <c r="C241" s="424"/>
      <c r="D241" s="424"/>
      <c r="E241" s="424"/>
      <c r="F241" s="424"/>
      <c r="G241" s="425"/>
    </row>
    <row r="242" spans="1:7" ht="30.6" customHeight="1" x14ac:dyDescent="0.3">
      <c r="A242" s="152" t="s">
        <v>279</v>
      </c>
      <c r="B242" s="152"/>
      <c r="C242" s="426" t="str">
        <f>VLOOKUP(A242,'Planilha Orçamentária'!$B$6:$E$17,3,FALSE)</f>
        <v>Licença de Software, disponibilização do servidor de imagem e suporte técnico - Regularização Fundiária</v>
      </c>
      <c r="D242" s="427"/>
      <c r="E242" s="309" t="str">
        <f>VLOOKUP(A242,'Planilha Orçamentária'!$B$6:$E$17,4,FALSE)</f>
        <v>mês</v>
      </c>
      <c r="F242" s="153">
        <f>G256</f>
        <v>0</v>
      </c>
      <c r="G242" s="153">
        <f>G257</f>
        <v>0</v>
      </c>
    </row>
    <row r="243" spans="1:7" x14ac:dyDescent="0.3">
      <c r="A243" s="423"/>
      <c r="B243" s="424"/>
      <c r="C243" s="424"/>
      <c r="D243" s="424"/>
      <c r="E243" s="424"/>
      <c r="F243" s="424"/>
      <c r="G243" s="425"/>
    </row>
    <row r="244" spans="1:7" x14ac:dyDescent="0.3">
      <c r="A244" s="5" t="s">
        <v>50</v>
      </c>
      <c r="B244" s="5" t="s">
        <v>324</v>
      </c>
      <c r="C244" s="5" t="s">
        <v>325</v>
      </c>
      <c r="D244" s="5" t="s">
        <v>326</v>
      </c>
      <c r="E244" s="5" t="s">
        <v>280</v>
      </c>
      <c r="F244" s="5" t="s">
        <v>327</v>
      </c>
      <c r="G244" s="5" t="s">
        <v>328</v>
      </c>
    </row>
    <row r="245" spans="1:7" x14ac:dyDescent="0.3">
      <c r="A245" s="405" t="s">
        <v>332</v>
      </c>
      <c r="B245" s="406"/>
      <c r="C245" s="406"/>
      <c r="D245" s="406"/>
      <c r="E245" s="406"/>
      <c r="F245" s="407"/>
      <c r="G245" s="93">
        <v>0</v>
      </c>
    </row>
    <row r="246" spans="1:7" x14ac:dyDescent="0.3">
      <c r="A246" s="369"/>
      <c r="B246" s="370"/>
      <c r="C246" s="370"/>
      <c r="D246" s="370"/>
      <c r="E246" s="370"/>
      <c r="F246" s="370"/>
      <c r="G246" s="371"/>
    </row>
    <row r="247" spans="1:7" x14ac:dyDescent="0.3">
      <c r="A247" s="5" t="s">
        <v>50</v>
      </c>
      <c r="B247" s="5" t="s">
        <v>324</v>
      </c>
      <c r="C247" s="5" t="s">
        <v>397</v>
      </c>
      <c r="D247" s="5" t="s">
        <v>326</v>
      </c>
      <c r="E247" s="5" t="s">
        <v>280</v>
      </c>
      <c r="F247" s="5" t="s">
        <v>327</v>
      </c>
      <c r="G247" s="5" t="s">
        <v>426</v>
      </c>
    </row>
    <row r="248" spans="1:7" ht="27.6" x14ac:dyDescent="0.3">
      <c r="A248" s="86" t="s">
        <v>412</v>
      </c>
      <c r="B248" s="86" t="s">
        <v>778</v>
      </c>
      <c r="C248" s="87" t="str">
        <f>IF(A248="","",VLOOKUP(A248,'Cotação de Mercado'!$A$8:$H$14,3,FALSE))</f>
        <v>Licença de Software, disponibilização do servidor de imagem e suporte técnico - Regularização Fundiária.</v>
      </c>
      <c r="D248" s="88" t="str">
        <f>IF(A248="","",VLOOKUP(A248,'Cotação de Mercado'!$A$8:$H$14,4,FALSE))</f>
        <v>mês</v>
      </c>
      <c r="E248" s="90">
        <f>MC_CPU.011!E8</f>
        <v>1</v>
      </c>
      <c r="F248" s="88"/>
      <c r="G248" s="92">
        <f>F248*E248</f>
        <v>0</v>
      </c>
    </row>
    <row r="249" spans="1:7" x14ac:dyDescent="0.3">
      <c r="A249" s="405" t="s">
        <v>333</v>
      </c>
      <c r="B249" s="406"/>
      <c r="C249" s="406"/>
      <c r="D249" s="406"/>
      <c r="E249" s="406"/>
      <c r="F249" s="407"/>
      <c r="G249" s="94">
        <f>SUM(G248)</f>
        <v>0</v>
      </c>
    </row>
    <row r="250" spans="1:7" x14ac:dyDescent="0.3">
      <c r="A250" s="408"/>
      <c r="B250" s="409"/>
      <c r="C250" s="409"/>
      <c r="D250" s="409"/>
      <c r="E250" s="409"/>
      <c r="F250" s="409"/>
      <c r="G250" s="410"/>
    </row>
    <row r="251" spans="1:7" x14ac:dyDescent="0.3">
      <c r="A251" s="411" t="s">
        <v>349</v>
      </c>
      <c r="B251" s="412"/>
      <c r="C251" s="412"/>
      <c r="D251" s="413"/>
      <c r="E251" s="411" t="s">
        <v>398</v>
      </c>
      <c r="F251" s="412"/>
      <c r="G251" s="413"/>
    </row>
    <row r="252" spans="1:7" x14ac:dyDescent="0.3">
      <c r="A252" s="414"/>
      <c r="B252" s="415"/>
      <c r="C252" s="415"/>
      <c r="D252" s="416"/>
      <c r="E252" s="90" t="s">
        <v>399</v>
      </c>
      <c r="F252" s="143" t="s">
        <v>406</v>
      </c>
      <c r="G252" s="92">
        <f>G245</f>
        <v>0</v>
      </c>
    </row>
    <row r="253" spans="1:7" x14ac:dyDescent="0.3">
      <c r="A253" s="417"/>
      <c r="B253" s="418"/>
      <c r="C253" s="418"/>
      <c r="D253" s="419"/>
      <c r="E253" s="138" t="s">
        <v>400</v>
      </c>
      <c r="F253" s="144" t="s">
        <v>407</v>
      </c>
      <c r="G253" s="139">
        <f>G249</f>
        <v>0</v>
      </c>
    </row>
    <row r="254" spans="1:7" x14ac:dyDescent="0.3">
      <c r="A254" s="417"/>
      <c r="B254" s="418"/>
      <c r="C254" s="418"/>
      <c r="D254" s="419"/>
      <c r="E254" s="6" t="s">
        <v>401</v>
      </c>
      <c r="F254" s="145" t="s">
        <v>410</v>
      </c>
      <c r="G254" s="146">
        <f>FATOR_K!$E$12</f>
        <v>1.9967159277504105</v>
      </c>
    </row>
    <row r="255" spans="1:7" x14ac:dyDescent="0.3">
      <c r="A255" s="417"/>
      <c r="B255" s="418"/>
      <c r="C255" s="418"/>
      <c r="D255" s="419"/>
      <c r="E255" s="6" t="s">
        <v>402</v>
      </c>
      <c r="F255" s="145" t="s">
        <v>411</v>
      </c>
      <c r="G255" s="147">
        <f>FATOR_K!$E$13</f>
        <v>1.0946907498631637</v>
      </c>
    </row>
    <row r="256" spans="1:7" x14ac:dyDescent="0.3">
      <c r="A256" s="417"/>
      <c r="B256" s="418"/>
      <c r="C256" s="418"/>
      <c r="D256" s="419"/>
      <c r="E256" s="148" t="s">
        <v>403</v>
      </c>
      <c r="F256" s="149" t="s">
        <v>408</v>
      </c>
      <c r="G256" s="150">
        <f>ROUND(SUM(G252:G253),2)</f>
        <v>0</v>
      </c>
    </row>
    <row r="257" spans="1:7" x14ac:dyDescent="0.3">
      <c r="A257" s="420"/>
      <c r="B257" s="421"/>
      <c r="C257" s="421"/>
      <c r="D257" s="422"/>
      <c r="E257" s="83" t="s">
        <v>404</v>
      </c>
      <c r="F257" s="141" t="s">
        <v>405</v>
      </c>
      <c r="G257" s="142">
        <f>ROUND((G252*G254)+(G253*G255),2)</f>
        <v>0</v>
      </c>
    </row>
    <row r="258" spans="1:7" ht="6" customHeight="1" x14ac:dyDescent="0.3">
      <c r="A258" s="402"/>
      <c r="B258" s="403"/>
      <c r="C258" s="403"/>
      <c r="D258" s="403"/>
      <c r="E258" s="403"/>
      <c r="F258" s="403"/>
      <c r="G258" s="404"/>
    </row>
    <row r="259" spans="1:7" x14ac:dyDescent="0.3">
      <c r="A259" s="423"/>
      <c r="B259" s="424"/>
      <c r="C259" s="424"/>
      <c r="D259" s="424"/>
      <c r="E259" s="424"/>
      <c r="F259" s="424"/>
      <c r="G259" s="425"/>
    </row>
    <row r="260" spans="1:7" ht="29.4" customHeight="1" x14ac:dyDescent="0.3">
      <c r="A260" s="152" t="s">
        <v>436</v>
      </c>
      <c r="B260" s="152"/>
      <c r="C260" s="426" t="str">
        <f>VLOOKUP(A260,'Planilha Orçamentária'!$B$6:$E$17,3,FALSE)</f>
        <v>Treinamento no uso do Sistema de Gestão da Informação em Regularização Fundiária</v>
      </c>
      <c r="D260" s="427"/>
      <c r="E260" s="309" t="str">
        <f>VLOOKUP(A260,'Planilha Orçamentária'!$B$6:$E$17,4,FALSE)</f>
        <v>hrs</v>
      </c>
      <c r="F260" s="153">
        <f>G274</f>
        <v>0</v>
      </c>
      <c r="G260" s="153">
        <f>G275</f>
        <v>0</v>
      </c>
    </row>
    <row r="261" spans="1:7" x14ac:dyDescent="0.3">
      <c r="A261" s="423"/>
      <c r="B261" s="424"/>
      <c r="C261" s="424"/>
      <c r="D261" s="424"/>
      <c r="E261" s="424"/>
      <c r="F261" s="424"/>
      <c r="G261" s="425"/>
    </row>
    <row r="262" spans="1:7" x14ac:dyDescent="0.3">
      <c r="A262" s="5" t="s">
        <v>50</v>
      </c>
      <c r="B262" s="5" t="s">
        <v>324</v>
      </c>
      <c r="C262" s="5" t="s">
        <v>325</v>
      </c>
      <c r="D262" s="5" t="s">
        <v>326</v>
      </c>
      <c r="E262" s="5" t="s">
        <v>280</v>
      </c>
      <c r="F262" s="5" t="s">
        <v>327</v>
      </c>
      <c r="G262" s="5" t="s">
        <v>328</v>
      </c>
    </row>
    <row r="263" spans="1:7" x14ac:dyDescent="0.3">
      <c r="A263" s="405" t="s">
        <v>332</v>
      </c>
      <c r="B263" s="406"/>
      <c r="C263" s="406"/>
      <c r="D263" s="406"/>
      <c r="E263" s="406"/>
      <c r="F263" s="407"/>
      <c r="G263" s="93">
        <v>0</v>
      </c>
    </row>
    <row r="264" spans="1:7" x14ac:dyDescent="0.3">
      <c r="A264" s="369"/>
      <c r="B264" s="370"/>
      <c r="C264" s="370"/>
      <c r="D264" s="370"/>
      <c r="E264" s="370"/>
      <c r="F264" s="370"/>
      <c r="G264" s="371"/>
    </row>
    <row r="265" spans="1:7" x14ac:dyDescent="0.3">
      <c r="A265" s="5" t="s">
        <v>50</v>
      </c>
      <c r="B265" s="5" t="s">
        <v>324</v>
      </c>
      <c r="C265" s="5" t="s">
        <v>397</v>
      </c>
      <c r="D265" s="5" t="s">
        <v>326</v>
      </c>
      <c r="E265" s="5" t="s">
        <v>280</v>
      </c>
      <c r="F265" s="5" t="s">
        <v>327</v>
      </c>
      <c r="G265" s="5" t="s">
        <v>426</v>
      </c>
    </row>
    <row r="266" spans="1:7" ht="27.6" x14ac:dyDescent="0.3">
      <c r="A266" s="86" t="s">
        <v>432</v>
      </c>
      <c r="B266" s="86" t="s">
        <v>778</v>
      </c>
      <c r="C266" s="87" t="str">
        <f>IF(A266="","",VLOOKUP(A266,'Cotação de Mercado'!$A$8:$H$14,3,FALSE))</f>
        <v>Treinamento no uso do Sistema de Gestão da Informação em Regularização Fundiária.</v>
      </c>
      <c r="D266" s="88" t="str">
        <f>IF(A266="","",VLOOKUP(A266,'Cotação de Mercado'!$A$8:$H$14,4,FALSE))</f>
        <v>hr</v>
      </c>
      <c r="E266" s="90">
        <f>MC_CPU.012!E9</f>
        <v>1</v>
      </c>
      <c r="F266" s="88"/>
      <c r="G266" s="92">
        <f>F266*E266</f>
        <v>0</v>
      </c>
    </row>
    <row r="267" spans="1:7" x14ac:dyDescent="0.3">
      <c r="A267" s="405" t="s">
        <v>333</v>
      </c>
      <c r="B267" s="406"/>
      <c r="C267" s="406"/>
      <c r="D267" s="406"/>
      <c r="E267" s="406"/>
      <c r="F267" s="407"/>
      <c r="G267" s="94">
        <f>SUM(G266)</f>
        <v>0</v>
      </c>
    </row>
    <row r="268" spans="1:7" x14ac:dyDescent="0.3">
      <c r="A268" s="408"/>
      <c r="B268" s="409"/>
      <c r="C268" s="409"/>
      <c r="D268" s="409"/>
      <c r="E268" s="409"/>
      <c r="F268" s="409"/>
      <c r="G268" s="410"/>
    </row>
    <row r="269" spans="1:7" x14ac:dyDescent="0.3">
      <c r="A269" s="411" t="s">
        <v>349</v>
      </c>
      <c r="B269" s="412"/>
      <c r="C269" s="412"/>
      <c r="D269" s="413"/>
      <c r="E269" s="411" t="s">
        <v>398</v>
      </c>
      <c r="F269" s="412"/>
      <c r="G269" s="413"/>
    </row>
    <row r="270" spans="1:7" x14ac:dyDescent="0.3">
      <c r="A270" s="414"/>
      <c r="B270" s="415"/>
      <c r="C270" s="415"/>
      <c r="D270" s="416"/>
      <c r="E270" s="90" t="s">
        <v>399</v>
      </c>
      <c r="F270" s="143" t="s">
        <v>406</v>
      </c>
      <c r="G270" s="92">
        <f>G263</f>
        <v>0</v>
      </c>
    </row>
    <row r="271" spans="1:7" x14ac:dyDescent="0.3">
      <c r="A271" s="417"/>
      <c r="B271" s="418"/>
      <c r="C271" s="418"/>
      <c r="D271" s="419"/>
      <c r="E271" s="138" t="s">
        <v>400</v>
      </c>
      <c r="F271" s="144" t="s">
        <v>407</v>
      </c>
      <c r="G271" s="139">
        <f>G267</f>
        <v>0</v>
      </c>
    </row>
    <row r="272" spans="1:7" x14ac:dyDescent="0.3">
      <c r="A272" s="417"/>
      <c r="B272" s="418"/>
      <c r="C272" s="418"/>
      <c r="D272" s="419"/>
      <c r="E272" s="6" t="s">
        <v>401</v>
      </c>
      <c r="F272" s="145" t="s">
        <v>410</v>
      </c>
      <c r="G272" s="146">
        <f>FATOR_K!$E$12</f>
        <v>1.9967159277504105</v>
      </c>
    </row>
    <row r="273" spans="1:7" x14ac:dyDescent="0.3">
      <c r="A273" s="417"/>
      <c r="B273" s="418"/>
      <c r="C273" s="418"/>
      <c r="D273" s="419"/>
      <c r="E273" s="6" t="s">
        <v>402</v>
      </c>
      <c r="F273" s="145" t="s">
        <v>411</v>
      </c>
      <c r="G273" s="147">
        <f>FATOR_K!$E$13</f>
        <v>1.0946907498631637</v>
      </c>
    </row>
    <row r="274" spans="1:7" x14ac:dyDescent="0.3">
      <c r="A274" s="417"/>
      <c r="B274" s="418"/>
      <c r="C274" s="418"/>
      <c r="D274" s="419"/>
      <c r="E274" s="148" t="s">
        <v>403</v>
      </c>
      <c r="F274" s="149" t="s">
        <v>408</v>
      </c>
      <c r="G274" s="150">
        <f>ROUND(SUM(G270:G271),2)</f>
        <v>0</v>
      </c>
    </row>
    <row r="275" spans="1:7" x14ac:dyDescent="0.3">
      <c r="A275" s="420"/>
      <c r="B275" s="421"/>
      <c r="C275" s="421"/>
      <c r="D275" s="422"/>
      <c r="E275" s="83" t="s">
        <v>404</v>
      </c>
      <c r="F275" s="141" t="s">
        <v>405</v>
      </c>
      <c r="G275" s="142">
        <f>ROUND((G270*G272)+(G271*G273),2)</f>
        <v>0</v>
      </c>
    </row>
    <row r="276" spans="1:7" ht="6" customHeight="1" x14ac:dyDescent="0.3">
      <c r="A276" s="402"/>
      <c r="B276" s="403"/>
      <c r="C276" s="403"/>
      <c r="D276" s="403"/>
      <c r="E276" s="403"/>
      <c r="F276" s="403"/>
      <c r="G276" s="404"/>
    </row>
  </sheetData>
  <mergeCells count="144">
    <mergeCell ref="A259:G259"/>
    <mergeCell ref="C260:D260"/>
    <mergeCell ref="A261:G261"/>
    <mergeCell ref="A263:F263"/>
    <mergeCell ref="A264:G264"/>
    <mergeCell ref="A267:F267"/>
    <mergeCell ref="A268:G268"/>
    <mergeCell ref="C125:D125"/>
    <mergeCell ref="A126:G126"/>
    <mergeCell ref="A129:F129"/>
    <mergeCell ref="A130:G130"/>
    <mergeCell ref="A132:F132"/>
    <mergeCell ref="A133:G133"/>
    <mergeCell ref="A134:D134"/>
    <mergeCell ref="E134:G134"/>
    <mergeCell ref="A135:D140"/>
    <mergeCell ref="A141:G141"/>
    <mergeCell ref="A142:G142"/>
    <mergeCell ref="A161:G161"/>
    <mergeCell ref="C162:D162"/>
    <mergeCell ref="A163:G163"/>
    <mergeCell ref="A167:F167"/>
    <mergeCell ref="A168:G168"/>
    <mergeCell ref="A170:F170"/>
    <mergeCell ref="A1:B5"/>
    <mergeCell ref="C6:D6"/>
    <mergeCell ref="C7:D7"/>
    <mergeCell ref="A19:D19"/>
    <mergeCell ref="E19:G19"/>
    <mergeCell ref="A240:G240"/>
    <mergeCell ref="A241:G241"/>
    <mergeCell ref="C242:D242"/>
    <mergeCell ref="A243:G243"/>
    <mergeCell ref="A20:D25"/>
    <mergeCell ref="A50:G50"/>
    <mergeCell ref="A43:D43"/>
    <mergeCell ref="E43:G43"/>
    <mergeCell ref="A44:D49"/>
    <mergeCell ref="A17:F17"/>
    <mergeCell ref="A18:G18"/>
    <mergeCell ref="A26:G26"/>
    <mergeCell ref="A8:G8"/>
    <mergeCell ref="A13:F13"/>
    <mergeCell ref="A14:G14"/>
    <mergeCell ref="A68:D73"/>
    <mergeCell ref="A27:G27"/>
    <mergeCell ref="A51:G51"/>
    <mergeCell ref="A74:G74"/>
    <mergeCell ref="A75:G75"/>
    <mergeCell ref="A53:G53"/>
    <mergeCell ref="A58:F58"/>
    <mergeCell ref="A59:G59"/>
    <mergeCell ref="A65:F65"/>
    <mergeCell ref="A66:G66"/>
    <mergeCell ref="A67:D67"/>
    <mergeCell ref="E67:G67"/>
    <mergeCell ref="C28:D28"/>
    <mergeCell ref="A29:G29"/>
    <mergeCell ref="A34:F34"/>
    <mergeCell ref="A35:G35"/>
    <mergeCell ref="A41:F41"/>
    <mergeCell ref="A42:G42"/>
    <mergeCell ref="C52:D52"/>
    <mergeCell ref="A95:D95"/>
    <mergeCell ref="E95:G95"/>
    <mergeCell ref="A96:D101"/>
    <mergeCell ref="A102:G102"/>
    <mergeCell ref="A103:G103"/>
    <mergeCell ref="C76:D76"/>
    <mergeCell ref="A77:G77"/>
    <mergeCell ref="A85:F85"/>
    <mergeCell ref="A86:G86"/>
    <mergeCell ref="A93:F93"/>
    <mergeCell ref="A94:G94"/>
    <mergeCell ref="C104:D104"/>
    <mergeCell ref="A105:G105"/>
    <mergeCell ref="A111:F111"/>
    <mergeCell ref="A123:G123"/>
    <mergeCell ref="A124:G124"/>
    <mergeCell ref="C143:D143"/>
    <mergeCell ref="A144:G144"/>
    <mergeCell ref="A148:F148"/>
    <mergeCell ref="A149:G149"/>
    <mergeCell ref="A112:G112"/>
    <mergeCell ref="A114:F114"/>
    <mergeCell ref="A115:G115"/>
    <mergeCell ref="A116:D116"/>
    <mergeCell ref="E116:G116"/>
    <mergeCell ref="A117:D122"/>
    <mergeCell ref="A151:F151"/>
    <mergeCell ref="A152:G152"/>
    <mergeCell ref="A153:D153"/>
    <mergeCell ref="E153:G153"/>
    <mergeCell ref="A154:D159"/>
    <mergeCell ref="A160:G160"/>
    <mergeCell ref="C181:D181"/>
    <mergeCell ref="A182:G182"/>
    <mergeCell ref="A186:F186"/>
    <mergeCell ref="A187:G187"/>
    <mergeCell ref="A190:F190"/>
    <mergeCell ref="A191:G191"/>
    <mergeCell ref="A171:G171"/>
    <mergeCell ref="A172:D172"/>
    <mergeCell ref="E172:G172"/>
    <mergeCell ref="A173:D178"/>
    <mergeCell ref="A179:G179"/>
    <mergeCell ref="A180:G180"/>
    <mergeCell ref="A202:G202"/>
    <mergeCell ref="A207:F207"/>
    <mergeCell ref="A208:G208"/>
    <mergeCell ref="A210:F210"/>
    <mergeCell ref="A211:G211"/>
    <mergeCell ref="A212:D212"/>
    <mergeCell ref="E212:G212"/>
    <mergeCell ref="A192:D192"/>
    <mergeCell ref="E192:G192"/>
    <mergeCell ref="A193:D198"/>
    <mergeCell ref="A199:G199"/>
    <mergeCell ref="A200:G200"/>
    <mergeCell ref="C201:D201"/>
    <mergeCell ref="A276:G276"/>
    <mergeCell ref="A229:G229"/>
    <mergeCell ref="A231:F231"/>
    <mergeCell ref="A232:G232"/>
    <mergeCell ref="A233:D233"/>
    <mergeCell ref="E233:G233"/>
    <mergeCell ref="A234:D239"/>
    <mergeCell ref="A213:D218"/>
    <mergeCell ref="A219:G219"/>
    <mergeCell ref="A220:G220"/>
    <mergeCell ref="C221:D221"/>
    <mergeCell ref="A222:G222"/>
    <mergeCell ref="A228:F228"/>
    <mergeCell ref="A245:F245"/>
    <mergeCell ref="A246:G246"/>
    <mergeCell ref="A249:F249"/>
    <mergeCell ref="A250:G250"/>
    <mergeCell ref="A251:D251"/>
    <mergeCell ref="E251:G251"/>
    <mergeCell ref="A269:D269"/>
    <mergeCell ref="E269:G269"/>
    <mergeCell ref="A270:D275"/>
    <mergeCell ref="A252:D257"/>
    <mergeCell ref="A258:G258"/>
  </mergeCells>
  <phoneticPr fontId="29" type="noConversion"/>
  <pageMargins left="0.51181102362204722" right="0.51181102362204722" top="0.78740157480314965" bottom="1.0629921259842521" header="0.31496062992125984" footer="0.31496062992125984"/>
  <pageSetup paperSize="9" scale="76" fitToHeight="0" orientation="portrait" r:id="rId1"/>
  <headerFooter>
    <oddFooter>&amp;RPrefeitura Municipal de Colatina
Travessa Avelino Guerra, 111, Sagrado Coração de Jesus
Telefone: (27) 3177-7000 | https://colatina.es.gov.br/</oddFooter>
  </headerFooter>
  <rowBreaks count="4" manualBreakCount="4">
    <brk id="51" max="6" man="1"/>
    <brk id="102" max="6" man="1"/>
    <brk id="160" max="6" man="1"/>
    <brk id="219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K40"/>
  <sheetViews>
    <sheetView view="pageBreakPreview" zoomScaleNormal="100" zoomScaleSheetLayoutView="100" workbookViewId="0">
      <selection activeCell="E5" sqref="E5"/>
    </sheetView>
  </sheetViews>
  <sheetFormatPr defaultColWidth="8.88671875" defaultRowHeight="15.6" x14ac:dyDescent="0.3"/>
  <cols>
    <col min="1" max="1" width="6.88671875" style="30" customWidth="1"/>
    <col min="2" max="2" width="7.33203125" style="30" customWidth="1"/>
    <col min="3" max="3" width="21.6640625" style="30" customWidth="1"/>
    <col min="4" max="4" width="15.5546875" style="80" bestFit="1" customWidth="1"/>
    <col min="5" max="5" width="15.33203125" style="30" customWidth="1"/>
    <col min="6" max="6" width="10.109375" style="30" bestFit="1" customWidth="1"/>
    <col min="7" max="7" width="16.109375" style="30" customWidth="1"/>
    <col min="8" max="8" width="18.109375" style="30" customWidth="1"/>
    <col min="9" max="9" width="15.33203125" style="30" customWidth="1"/>
    <col min="10" max="16384" width="8.88671875" style="30"/>
  </cols>
  <sheetData>
    <row r="1" spans="1:8" x14ac:dyDescent="0.3">
      <c r="A1" s="431"/>
      <c r="B1" s="431"/>
      <c r="C1" s="50" t="str">
        <f>CPU_Serviços!$C$1</f>
        <v>Prefeitura Municipal de Colatina</v>
      </c>
      <c r="D1" s="50"/>
      <c r="E1" s="50"/>
    </row>
    <row r="2" spans="1:8" x14ac:dyDescent="0.3">
      <c r="A2" s="431"/>
      <c r="B2" s="431"/>
      <c r="C2" s="472" t="str">
        <f>CPU_Serviços!$C$2</f>
        <v>Secretaria Municipal de Habitação e Regularização Fundiária</v>
      </c>
      <c r="D2" s="472"/>
      <c r="E2" s="472"/>
    </row>
    <row r="3" spans="1:8" ht="30" customHeight="1" x14ac:dyDescent="0.3">
      <c r="A3" s="431"/>
      <c r="B3" s="431"/>
      <c r="C3" s="435" t="s">
        <v>735</v>
      </c>
      <c r="D3" s="435"/>
      <c r="E3" s="435"/>
    </row>
    <row r="4" spans="1:8" x14ac:dyDescent="0.3">
      <c r="A4" s="431"/>
      <c r="B4" s="431"/>
      <c r="C4" s="30" t="s">
        <v>380</v>
      </c>
      <c r="D4" s="30"/>
      <c r="F4" s="471"/>
      <c r="G4" s="471"/>
      <c r="H4" s="471"/>
    </row>
    <row r="5" spans="1:8" s="53" customFormat="1" x14ac:dyDescent="0.25">
      <c r="A5" s="450" t="s">
        <v>394</v>
      </c>
      <c r="B5" s="451"/>
      <c r="C5" s="326" t="s">
        <v>381</v>
      </c>
      <c r="D5" s="310" t="s">
        <v>382</v>
      </c>
      <c r="E5" s="327">
        <v>0.82399999999999995</v>
      </c>
      <c r="F5" s="51"/>
      <c r="G5" s="468"/>
      <c r="H5" s="468"/>
    </row>
    <row r="6" spans="1:8" x14ac:dyDescent="0.3">
      <c r="A6" s="452"/>
      <c r="B6" s="453"/>
      <c r="C6" s="328" t="s">
        <v>383</v>
      </c>
      <c r="D6" s="311" t="s">
        <v>346</v>
      </c>
      <c r="E6" s="329"/>
      <c r="F6" s="45"/>
      <c r="G6" s="45"/>
      <c r="H6" s="45"/>
    </row>
    <row r="7" spans="1:8" x14ac:dyDescent="0.3">
      <c r="A7" s="452"/>
      <c r="B7" s="453"/>
      <c r="C7" s="328" t="s">
        <v>384</v>
      </c>
      <c r="D7" s="311" t="s">
        <v>386</v>
      </c>
      <c r="E7" s="329"/>
      <c r="F7" s="330"/>
      <c r="G7" s="31"/>
      <c r="H7" s="34"/>
    </row>
    <row r="8" spans="1:8" s="53" customFormat="1" x14ac:dyDescent="0.25">
      <c r="A8" s="452"/>
      <c r="B8" s="453"/>
      <c r="C8" s="465" t="s">
        <v>385</v>
      </c>
      <c r="D8" s="310" t="s">
        <v>387</v>
      </c>
      <c r="E8" s="331">
        <v>0.05</v>
      </c>
    </row>
    <row r="9" spans="1:8" s="53" customFormat="1" x14ac:dyDescent="0.25">
      <c r="A9" s="452"/>
      <c r="B9" s="453"/>
      <c r="C9" s="466"/>
      <c r="D9" s="332" t="s">
        <v>388</v>
      </c>
      <c r="E9" s="331">
        <v>6.4999999999999997E-3</v>
      </c>
    </row>
    <row r="10" spans="1:8" s="53" customFormat="1" x14ac:dyDescent="0.25">
      <c r="A10" s="452"/>
      <c r="B10" s="453"/>
      <c r="C10" s="466"/>
      <c r="D10" s="310" t="s">
        <v>389</v>
      </c>
      <c r="E10" s="331">
        <v>0.03</v>
      </c>
    </row>
    <row r="11" spans="1:8" s="53" customFormat="1" x14ac:dyDescent="0.25">
      <c r="A11" s="452"/>
      <c r="B11" s="453"/>
      <c r="C11" s="467"/>
      <c r="D11" s="310" t="s">
        <v>390</v>
      </c>
      <c r="E11" s="331">
        <f>(1/(1-(SUM(E8:E10))))-1</f>
        <v>9.4690749863163726E-2</v>
      </c>
    </row>
    <row r="12" spans="1:8" s="53" customFormat="1" x14ac:dyDescent="0.25">
      <c r="A12" s="452"/>
      <c r="B12" s="453"/>
      <c r="C12" s="469" t="s">
        <v>391</v>
      </c>
      <c r="D12" s="470"/>
      <c r="E12" s="333">
        <f>(1+E5+E6)*(1+E7)*(1+E11)</f>
        <v>1.9967159277504105</v>
      </c>
    </row>
    <row r="13" spans="1:8" s="53" customFormat="1" ht="18" x14ac:dyDescent="0.25">
      <c r="A13" s="452"/>
      <c r="B13" s="453"/>
      <c r="C13" s="445" t="s">
        <v>392</v>
      </c>
      <c r="D13" s="446"/>
      <c r="E13" s="333">
        <f>(1+E7)*(1+E11)</f>
        <v>1.0946907498631637</v>
      </c>
    </row>
    <row r="14" spans="1:8" s="53" customFormat="1" ht="49.2" customHeight="1" x14ac:dyDescent="0.25">
      <c r="A14" s="452"/>
      <c r="B14" s="453"/>
      <c r="C14" s="447"/>
      <c r="D14" s="448"/>
      <c r="E14" s="449"/>
    </row>
    <row r="15" spans="1:8" s="53" customFormat="1" ht="47.4" customHeight="1" x14ac:dyDescent="0.25">
      <c r="A15" s="452"/>
      <c r="B15" s="453"/>
      <c r="C15" s="447"/>
      <c r="D15" s="448"/>
      <c r="E15" s="449"/>
    </row>
    <row r="16" spans="1:8" s="53" customFormat="1" x14ac:dyDescent="0.25">
      <c r="A16" s="452"/>
      <c r="B16" s="453"/>
      <c r="C16" s="456" t="s">
        <v>393</v>
      </c>
      <c r="D16" s="457"/>
      <c r="E16" s="458"/>
    </row>
    <row r="17" spans="1:11" s="53" customFormat="1" x14ac:dyDescent="0.25">
      <c r="A17" s="452"/>
      <c r="B17" s="453"/>
      <c r="C17" s="459"/>
      <c r="D17" s="460"/>
      <c r="E17" s="461"/>
    </row>
    <row r="18" spans="1:11" s="53" customFormat="1" x14ac:dyDescent="0.25">
      <c r="A18" s="452"/>
      <c r="B18" s="453"/>
      <c r="C18" s="459"/>
      <c r="D18" s="460"/>
      <c r="E18" s="461"/>
    </row>
    <row r="19" spans="1:11" s="53" customFormat="1" x14ac:dyDescent="0.25">
      <c r="A19" s="452"/>
      <c r="B19" s="453"/>
      <c r="C19" s="459"/>
      <c r="D19" s="460"/>
      <c r="E19" s="461"/>
    </row>
    <row r="20" spans="1:11" s="53" customFormat="1" x14ac:dyDescent="0.25">
      <c r="A20" s="454"/>
      <c r="B20" s="455"/>
      <c r="C20" s="462"/>
      <c r="D20" s="463"/>
      <c r="E20" s="464"/>
    </row>
    <row r="22" spans="1:11" ht="15.6" customHeight="1" x14ac:dyDescent="0.3">
      <c r="A22" s="51" t="s">
        <v>822</v>
      </c>
      <c r="B22" s="51"/>
      <c r="C22" s="51"/>
      <c r="D22" s="30"/>
    </row>
    <row r="23" spans="1:11" ht="30.6" customHeight="1" x14ac:dyDescent="0.3">
      <c r="A23" s="435" t="s">
        <v>823</v>
      </c>
      <c r="B23" s="435"/>
      <c r="C23" s="435"/>
      <c r="D23" s="435"/>
      <c r="E23" s="435"/>
      <c r="F23" s="435"/>
      <c r="G23" s="435"/>
      <c r="H23" s="435"/>
      <c r="I23" s="435"/>
    </row>
    <row r="24" spans="1:11" ht="15.6" customHeight="1" x14ac:dyDescent="0.3">
      <c r="A24" s="321"/>
      <c r="B24" s="321"/>
      <c r="C24" s="321"/>
      <c r="D24" s="30"/>
    </row>
    <row r="25" spans="1:11" ht="35.4" customHeight="1" x14ac:dyDescent="0.3">
      <c r="A25" s="435" t="s">
        <v>824</v>
      </c>
      <c r="B25" s="435"/>
      <c r="C25" s="435"/>
      <c r="D25" s="435"/>
      <c r="E25" s="435"/>
      <c r="F25" s="435"/>
      <c r="G25" s="435"/>
      <c r="H25" s="435"/>
      <c r="I25" s="435"/>
    </row>
    <row r="26" spans="1:11" x14ac:dyDescent="0.3">
      <c r="A26" s="321"/>
      <c r="B26" s="321"/>
      <c r="C26" s="321"/>
      <c r="D26" s="30"/>
    </row>
    <row r="27" spans="1:11" x14ac:dyDescent="0.3">
      <c r="A27" s="30" t="s">
        <v>825</v>
      </c>
      <c r="B27" s="321"/>
      <c r="C27" s="321"/>
      <c r="D27" s="30"/>
    </row>
    <row r="28" spans="1:11" x14ac:dyDescent="0.3">
      <c r="A28" s="443" t="s">
        <v>826</v>
      </c>
      <c r="B28" s="443"/>
      <c r="C28" s="444" t="s">
        <v>244</v>
      </c>
      <c r="D28" s="444"/>
      <c r="E28" s="444"/>
      <c r="F28" s="322" t="s">
        <v>827</v>
      </c>
      <c r="G28" s="443" t="s">
        <v>828</v>
      </c>
      <c r="H28" s="443"/>
      <c r="I28" s="443"/>
    </row>
    <row r="29" spans="1:11" ht="40.799999999999997" customHeight="1" x14ac:dyDescent="0.3">
      <c r="A29" s="441" t="s">
        <v>829</v>
      </c>
      <c r="B29" s="441"/>
      <c r="C29" s="441" t="s">
        <v>830</v>
      </c>
      <c r="D29" s="441"/>
      <c r="E29" s="441"/>
      <c r="F29" s="323">
        <f>E5</f>
        <v>0.82399999999999995</v>
      </c>
      <c r="G29" s="442" t="s">
        <v>831</v>
      </c>
      <c r="H29" s="442"/>
      <c r="I29" s="442"/>
    </row>
    <row r="30" spans="1:11" ht="30" customHeight="1" x14ac:dyDescent="0.3">
      <c r="A30" s="437" t="s">
        <v>832</v>
      </c>
      <c r="B30" s="437"/>
      <c r="C30" s="437" t="s">
        <v>833</v>
      </c>
      <c r="D30" s="437"/>
      <c r="E30" s="437"/>
      <c r="F30" s="324">
        <f>E6</f>
        <v>0</v>
      </c>
      <c r="G30" s="437" t="s">
        <v>834</v>
      </c>
      <c r="H30" s="437"/>
      <c r="I30" s="437"/>
    </row>
    <row r="31" spans="1:11" ht="35.4" customHeight="1" x14ac:dyDescent="0.3">
      <c r="A31" s="437" t="s">
        <v>835</v>
      </c>
      <c r="B31" s="437"/>
      <c r="C31" s="438" t="s">
        <v>836</v>
      </c>
      <c r="D31" s="438"/>
      <c r="E31" s="438"/>
      <c r="F31" s="324">
        <f>E7</f>
        <v>0</v>
      </c>
      <c r="G31" s="437" t="s">
        <v>837</v>
      </c>
      <c r="H31" s="437"/>
      <c r="I31" s="437"/>
      <c r="J31" s="53"/>
      <c r="K31" s="53"/>
    </row>
    <row r="32" spans="1:11" x14ac:dyDescent="0.3">
      <c r="A32" s="439" t="s">
        <v>838</v>
      </c>
      <c r="B32" s="439"/>
      <c r="C32" s="439" t="s">
        <v>839</v>
      </c>
      <c r="D32" s="439"/>
      <c r="E32" s="439"/>
      <c r="F32" s="325">
        <f>E11</f>
        <v>9.4690749863163726E-2</v>
      </c>
      <c r="G32" s="440" t="s">
        <v>840</v>
      </c>
      <c r="H32" s="440"/>
      <c r="I32" s="440"/>
      <c r="J32" s="53"/>
      <c r="K32" s="53"/>
    </row>
    <row r="33" spans="1:11" x14ac:dyDescent="0.3">
      <c r="C33" s="53"/>
      <c r="D33" s="312"/>
      <c r="E33" s="53"/>
      <c r="F33" s="53"/>
      <c r="G33" s="74"/>
      <c r="H33" s="53"/>
      <c r="I33" s="53"/>
      <c r="J33" s="53"/>
      <c r="K33" s="53"/>
    </row>
    <row r="34" spans="1:11" x14ac:dyDescent="0.3">
      <c r="A34" s="434" t="s">
        <v>879</v>
      </c>
      <c r="B34" s="434"/>
      <c r="C34" s="434"/>
      <c r="D34" s="434"/>
      <c r="E34" s="434"/>
      <c r="F34" s="434"/>
      <c r="G34" s="434"/>
      <c r="H34" s="434"/>
      <c r="I34" s="434"/>
      <c r="J34" s="53"/>
      <c r="K34" s="53"/>
    </row>
    <row r="35" spans="1:11" x14ac:dyDescent="0.3">
      <c r="C35" s="53"/>
      <c r="D35" s="312"/>
      <c r="E35" s="53"/>
      <c r="F35" s="53"/>
      <c r="G35" s="74"/>
      <c r="H35" s="53"/>
      <c r="I35" s="53"/>
      <c r="J35" s="53"/>
      <c r="K35" s="53"/>
    </row>
    <row r="36" spans="1:11" ht="34.799999999999997" customHeight="1" x14ac:dyDescent="0.3">
      <c r="A36" s="435" t="s">
        <v>841</v>
      </c>
      <c r="B36" s="435"/>
      <c r="C36" s="435"/>
      <c r="D36" s="435"/>
      <c r="E36" s="435"/>
      <c r="F36" s="435"/>
      <c r="G36" s="435"/>
      <c r="H36" s="435"/>
      <c r="I36" s="435"/>
      <c r="J36" s="53"/>
      <c r="K36" s="53"/>
    </row>
    <row r="37" spans="1:11" x14ac:dyDescent="0.3">
      <c r="C37" s="53"/>
      <c r="D37" s="312"/>
      <c r="E37" s="53"/>
      <c r="F37" s="53"/>
      <c r="G37" s="74"/>
      <c r="H37" s="53"/>
      <c r="I37" s="53"/>
      <c r="J37" s="53"/>
      <c r="K37" s="53"/>
    </row>
    <row r="38" spans="1:11" x14ac:dyDescent="0.3">
      <c r="A38" s="30" t="s">
        <v>842</v>
      </c>
      <c r="C38" s="53"/>
      <c r="D38" s="312"/>
      <c r="E38" s="53"/>
      <c r="F38" s="53"/>
      <c r="G38" s="74"/>
      <c r="H38" s="53"/>
      <c r="I38" s="53"/>
      <c r="J38" s="53"/>
      <c r="K38" s="53"/>
    </row>
    <row r="39" spans="1:11" x14ac:dyDescent="0.3">
      <c r="A39" s="30" t="s">
        <v>843</v>
      </c>
      <c r="G39" s="29"/>
    </row>
    <row r="40" spans="1:11" ht="36" customHeight="1" x14ac:dyDescent="0.3">
      <c r="A40" s="436" t="s">
        <v>844</v>
      </c>
      <c r="B40" s="436"/>
      <c r="C40" s="436"/>
      <c r="D40" s="436"/>
      <c r="E40" s="436"/>
      <c r="F40" s="436"/>
      <c r="G40" s="436"/>
      <c r="H40" s="436"/>
      <c r="I40" s="436"/>
    </row>
  </sheetData>
  <mergeCells count="32">
    <mergeCell ref="G5:H5"/>
    <mergeCell ref="C12:D12"/>
    <mergeCell ref="A1:B4"/>
    <mergeCell ref="F4:H4"/>
    <mergeCell ref="C3:E3"/>
    <mergeCell ref="C2:E2"/>
    <mergeCell ref="C13:D13"/>
    <mergeCell ref="C14:E14"/>
    <mergeCell ref="C15:E15"/>
    <mergeCell ref="A5:B20"/>
    <mergeCell ref="C16:E20"/>
    <mergeCell ref="C8:C11"/>
    <mergeCell ref="A23:I23"/>
    <mergeCell ref="A25:I25"/>
    <mergeCell ref="A28:B28"/>
    <mergeCell ref="C28:E28"/>
    <mergeCell ref="G28:I28"/>
    <mergeCell ref="A29:B29"/>
    <mergeCell ref="C29:E29"/>
    <mergeCell ref="G29:I29"/>
    <mergeCell ref="A30:B30"/>
    <mergeCell ref="C30:E30"/>
    <mergeCell ref="G30:I30"/>
    <mergeCell ref="A34:I34"/>
    <mergeCell ref="A36:I36"/>
    <mergeCell ref="A40:I40"/>
    <mergeCell ref="A31:B31"/>
    <mergeCell ref="C31:E31"/>
    <mergeCell ref="G31:I31"/>
    <mergeCell ref="A32:B32"/>
    <mergeCell ref="C32:E32"/>
    <mergeCell ref="G32:I32"/>
  </mergeCells>
  <pageMargins left="0.511811024" right="0.511811024" top="0.78740157499999996" bottom="1.1666666666666667" header="0.31496062000000002" footer="0.31496062000000002"/>
  <pageSetup paperSize="9" scale="74" fitToHeight="0" orientation="portrait" r:id="rId1"/>
  <headerFooter>
    <oddFooter>&amp;RPrefeitura Municipal de Colatina
Travessa Avelino Guerra, 111, Sagrado Coração de Jesus
Telefone: (27) 3177-7000 | https://colatina.es.gov.br/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K46"/>
  <sheetViews>
    <sheetView view="pageBreakPreview" topLeftCell="A14" zoomScaleNormal="100" zoomScaleSheetLayoutView="100" zoomScalePageLayoutView="80" workbookViewId="0">
      <selection activeCell="E39" sqref="E39:F39"/>
    </sheetView>
  </sheetViews>
  <sheetFormatPr defaultColWidth="8.88671875" defaultRowHeight="15.6" x14ac:dyDescent="0.3"/>
  <cols>
    <col min="1" max="1" width="5.109375" style="30" bestFit="1" customWidth="1"/>
    <col min="2" max="2" width="9.6640625" style="30" customWidth="1"/>
    <col min="3" max="3" width="31.33203125" style="30" customWidth="1"/>
    <col min="4" max="4" width="5.44140625" style="30" bestFit="1" customWidth="1"/>
    <col min="5" max="5" width="7.88671875" style="30" customWidth="1"/>
    <col min="6" max="6" width="11.6640625" style="30" bestFit="1" customWidth="1"/>
    <col min="7" max="7" width="14.88671875" style="30" bestFit="1" customWidth="1"/>
    <col min="8" max="8" width="48" style="30" customWidth="1"/>
    <col min="9" max="9" width="13.33203125" style="30" bestFit="1" customWidth="1"/>
    <col min="10" max="10" width="8.88671875" style="30"/>
    <col min="11" max="11" width="13.33203125" style="30" bestFit="1" customWidth="1"/>
    <col min="12" max="16384" width="8.88671875" style="30"/>
  </cols>
  <sheetData>
    <row r="1" spans="1:11" x14ac:dyDescent="0.3">
      <c r="A1" s="431"/>
      <c r="B1" s="431"/>
      <c r="C1" s="50" t="str">
        <f>CPU_Serviços!$C$1</f>
        <v>Prefeitura Municipal de Colatina</v>
      </c>
      <c r="D1" s="50"/>
      <c r="E1" s="50"/>
      <c r="F1" s="50"/>
      <c r="G1" s="50"/>
    </row>
    <row r="2" spans="1:11" ht="15.6" customHeight="1" x14ac:dyDescent="0.3">
      <c r="A2" s="431"/>
      <c r="B2" s="431"/>
      <c r="C2" s="306" t="str">
        <f>CPU_Serviços!$C$2</f>
        <v>Secretaria Municipal de Habitação e Regularização Fundiária</v>
      </c>
      <c r="D2" s="306"/>
      <c r="E2" s="306"/>
      <c r="F2" s="31"/>
      <c r="G2" s="31"/>
    </row>
    <row r="3" spans="1:11" ht="6.6" customHeight="1" x14ac:dyDescent="0.3">
      <c r="A3" s="431"/>
      <c r="B3" s="431"/>
    </row>
    <row r="4" spans="1:11" x14ac:dyDescent="0.3">
      <c r="A4" s="431"/>
      <c r="B4" s="431"/>
      <c r="C4" s="32" t="s">
        <v>735</v>
      </c>
      <c r="D4" s="32"/>
      <c r="E4" s="32"/>
      <c r="F4" s="32"/>
      <c r="G4" s="32"/>
      <c r="H4" s="32"/>
    </row>
    <row r="5" spans="1:11" x14ac:dyDescent="0.3">
      <c r="A5" s="431"/>
      <c r="B5" s="431"/>
      <c r="C5" s="30" t="s">
        <v>345</v>
      </c>
      <c r="H5" s="471"/>
      <c r="I5" s="471"/>
      <c r="J5" s="471"/>
      <c r="K5" s="471"/>
    </row>
    <row r="6" spans="1:11" s="74" customFormat="1" x14ac:dyDescent="0.25">
      <c r="A6" s="241" t="s">
        <v>99</v>
      </c>
      <c r="B6" s="241" t="s">
        <v>100</v>
      </c>
      <c r="C6" s="241" t="s">
        <v>346</v>
      </c>
      <c r="D6" s="241" t="s">
        <v>347</v>
      </c>
      <c r="E6" s="241" t="s">
        <v>245</v>
      </c>
      <c r="F6" s="241" t="s">
        <v>103</v>
      </c>
      <c r="G6" s="242" t="s">
        <v>348</v>
      </c>
      <c r="H6" s="242" t="s">
        <v>349</v>
      </c>
      <c r="I6" s="52"/>
      <c r="J6" s="468"/>
      <c r="K6" s="468"/>
    </row>
    <row r="7" spans="1:11" s="44" customFormat="1" ht="13.8" x14ac:dyDescent="0.25">
      <c r="A7" s="83" t="s">
        <v>350</v>
      </c>
      <c r="B7" s="83"/>
      <c r="C7" s="84" t="s">
        <v>351</v>
      </c>
      <c r="D7" s="84"/>
      <c r="E7" s="84"/>
      <c r="F7" s="119"/>
      <c r="G7" s="83"/>
      <c r="H7" s="120"/>
      <c r="I7" s="54"/>
      <c r="J7" s="54"/>
      <c r="K7" s="54"/>
    </row>
    <row r="8" spans="1:11" s="44" customFormat="1" ht="13.8" x14ac:dyDescent="0.25">
      <c r="A8" s="55" t="s">
        <v>105</v>
      </c>
      <c r="B8" s="55" t="s">
        <v>352</v>
      </c>
      <c r="C8" s="81" t="str">
        <f>'CPU-Insumos_MO'!C10</f>
        <v>Auxiliar de administração</v>
      </c>
      <c r="D8" s="55" t="str">
        <f>'CPU-Insumos_MO'!D10</f>
        <v>mês</v>
      </c>
      <c r="E8" s="111"/>
      <c r="F8" s="107"/>
      <c r="G8" s="108">
        <f>TRUNC(F8*E8,2)</f>
        <v>0</v>
      </c>
      <c r="H8" s="479" t="s">
        <v>353</v>
      </c>
      <c r="I8" s="59"/>
      <c r="J8" s="38"/>
      <c r="K8" s="60"/>
    </row>
    <row r="9" spans="1:11" s="65" customFormat="1" ht="13.8" x14ac:dyDescent="0.25">
      <c r="A9" s="61" t="s">
        <v>106</v>
      </c>
      <c r="B9" s="61" t="s">
        <v>352</v>
      </c>
      <c r="C9" s="109" t="str">
        <f>'CPU-Insumos_MO'!C11</f>
        <v>Auxiliar de Serviços Gerais</v>
      </c>
      <c r="D9" s="61" t="str">
        <f>'CPU-Insumos_MO'!D11</f>
        <v>h</v>
      </c>
      <c r="E9" s="110"/>
      <c r="F9" s="112"/>
      <c r="G9" s="108">
        <f>TRUNC(F9*E9,2)</f>
        <v>0</v>
      </c>
      <c r="H9" s="480"/>
    </row>
    <row r="10" spans="1:11" s="89" customFormat="1" ht="13.8" x14ac:dyDescent="0.25">
      <c r="A10" s="481" t="s">
        <v>354</v>
      </c>
      <c r="B10" s="481"/>
      <c r="C10" s="481"/>
      <c r="D10" s="481"/>
      <c r="E10" s="481"/>
      <c r="F10" s="481"/>
      <c r="G10" s="127">
        <f>SUM(G8:G9)</f>
        <v>0</v>
      </c>
      <c r="H10" s="93"/>
    </row>
    <row r="11" spans="1:11" s="89" customFormat="1" ht="13.8" x14ac:dyDescent="0.25">
      <c r="A11" s="369"/>
      <c r="B11" s="370"/>
      <c r="C11" s="370"/>
      <c r="D11" s="370"/>
      <c r="E11" s="370"/>
      <c r="F11" s="370"/>
      <c r="G11" s="370"/>
      <c r="H11" s="371"/>
    </row>
    <row r="12" spans="1:11" s="65" customFormat="1" ht="13.8" x14ac:dyDescent="0.25">
      <c r="A12" s="115" t="s">
        <v>355</v>
      </c>
      <c r="B12" s="115"/>
      <c r="C12" s="121" t="s">
        <v>356</v>
      </c>
      <c r="D12" s="115"/>
      <c r="E12" s="115"/>
      <c r="F12" s="115"/>
      <c r="G12" s="115"/>
      <c r="H12" s="115"/>
    </row>
    <row r="13" spans="1:11" s="65" customFormat="1" ht="13.8" x14ac:dyDescent="0.25">
      <c r="A13" s="61" t="s">
        <v>187</v>
      </c>
      <c r="B13" s="61" t="s">
        <v>109</v>
      </c>
      <c r="C13" s="113" t="s">
        <v>360</v>
      </c>
      <c r="D13" s="62" t="s">
        <v>6</v>
      </c>
      <c r="E13" s="110"/>
      <c r="F13" s="62"/>
      <c r="G13" s="62">
        <f t="shared" ref="G13:G14" si="0">TRUNC(F13*E13,2)</f>
        <v>0</v>
      </c>
      <c r="H13" s="485" t="s">
        <v>362</v>
      </c>
    </row>
    <row r="14" spans="1:11" s="65" customFormat="1" ht="27.6" x14ac:dyDescent="0.25">
      <c r="A14" s="61" t="s">
        <v>357</v>
      </c>
      <c r="B14" s="61" t="s">
        <v>109</v>
      </c>
      <c r="C14" s="82" t="s">
        <v>116</v>
      </c>
      <c r="D14" s="61" t="s">
        <v>6</v>
      </c>
      <c r="E14" s="110"/>
      <c r="F14" s="62"/>
      <c r="G14" s="62">
        <f t="shared" si="0"/>
        <v>0</v>
      </c>
      <c r="H14" s="486"/>
    </row>
    <row r="15" spans="1:11" s="65" customFormat="1" ht="13.8" x14ac:dyDescent="0.25">
      <c r="A15" s="61" t="s">
        <v>358</v>
      </c>
      <c r="B15" s="61" t="s">
        <v>359</v>
      </c>
      <c r="C15" s="113" t="s">
        <v>361</v>
      </c>
      <c r="D15" s="62" t="s">
        <v>28</v>
      </c>
      <c r="E15" s="110"/>
      <c r="F15" s="62"/>
      <c r="G15" s="62">
        <f>TRUNC(F15*E15,2)</f>
        <v>0</v>
      </c>
      <c r="H15" s="487"/>
    </row>
    <row r="16" spans="1:11" s="65" customFormat="1" ht="13.8" x14ac:dyDescent="0.25">
      <c r="A16" s="473" t="s">
        <v>354</v>
      </c>
      <c r="B16" s="474"/>
      <c r="C16" s="474"/>
      <c r="D16" s="474"/>
      <c r="E16" s="474"/>
      <c r="F16" s="475"/>
      <c r="G16" s="118">
        <f>SUM(G13:G15)</f>
        <v>0</v>
      </c>
      <c r="H16" s="117"/>
    </row>
    <row r="17" spans="1:8" s="65" customFormat="1" ht="13.8" x14ac:dyDescent="0.25">
      <c r="A17" s="482"/>
      <c r="B17" s="483"/>
      <c r="C17" s="483"/>
      <c r="D17" s="483"/>
      <c r="E17" s="483"/>
      <c r="F17" s="483"/>
      <c r="G17" s="483"/>
      <c r="H17" s="484"/>
    </row>
    <row r="18" spans="1:8" s="65" customFormat="1" ht="13.8" x14ac:dyDescent="0.25">
      <c r="A18" s="115" t="s">
        <v>363</v>
      </c>
      <c r="B18" s="115"/>
      <c r="C18" s="122" t="s">
        <v>364</v>
      </c>
      <c r="D18" s="115"/>
      <c r="E18" s="123"/>
      <c r="F18" s="123"/>
      <c r="G18" s="124"/>
      <c r="H18" s="125"/>
    </row>
    <row r="19" spans="1:8" s="65" customFormat="1" ht="13.8" x14ac:dyDescent="0.25">
      <c r="A19" s="61" t="s">
        <v>120</v>
      </c>
      <c r="B19" s="61" t="s">
        <v>109</v>
      </c>
      <c r="C19" s="82" t="s">
        <v>123</v>
      </c>
      <c r="D19" s="62" t="s">
        <v>5</v>
      </c>
      <c r="E19" s="110"/>
      <c r="F19" s="62"/>
      <c r="G19" s="62">
        <f>TRUNC(F19*E19,2)</f>
        <v>0</v>
      </c>
      <c r="H19" s="485" t="s">
        <v>365</v>
      </c>
    </row>
    <row r="20" spans="1:8" s="65" customFormat="1" ht="13.8" x14ac:dyDescent="0.25">
      <c r="A20" s="61" t="s">
        <v>121</v>
      </c>
      <c r="B20" s="61" t="s">
        <v>109</v>
      </c>
      <c r="C20" s="113" t="s">
        <v>132</v>
      </c>
      <c r="D20" s="61" t="s">
        <v>5</v>
      </c>
      <c r="E20" s="110"/>
      <c r="F20" s="62"/>
      <c r="G20" s="62">
        <f t="shared" ref="G20:G21" si="1">TRUNC(F20*E20,2)</f>
        <v>0</v>
      </c>
      <c r="H20" s="486"/>
    </row>
    <row r="21" spans="1:8" s="65" customFormat="1" ht="13.8" x14ac:dyDescent="0.25">
      <c r="A21" s="61" t="s">
        <v>122</v>
      </c>
      <c r="B21" s="61" t="s">
        <v>109</v>
      </c>
      <c r="C21" s="113" t="s">
        <v>191</v>
      </c>
      <c r="D21" s="62" t="s">
        <v>5</v>
      </c>
      <c r="E21" s="110"/>
      <c r="F21" s="62"/>
      <c r="G21" s="62">
        <f t="shared" si="1"/>
        <v>0</v>
      </c>
      <c r="H21" s="487"/>
    </row>
    <row r="22" spans="1:8" s="44" customFormat="1" ht="13.8" x14ac:dyDescent="0.25">
      <c r="A22" s="473" t="s">
        <v>354</v>
      </c>
      <c r="B22" s="474"/>
      <c r="C22" s="474"/>
      <c r="D22" s="474"/>
      <c r="E22" s="474"/>
      <c r="F22" s="475"/>
      <c r="G22" s="126">
        <f>SUM(G19:G21)</f>
        <v>0</v>
      </c>
      <c r="H22" s="95"/>
    </row>
    <row r="23" spans="1:8" s="44" customFormat="1" ht="13.8" x14ac:dyDescent="0.25">
      <c r="A23" s="423"/>
      <c r="B23" s="424"/>
      <c r="C23" s="424"/>
      <c r="D23" s="424"/>
      <c r="E23" s="424"/>
      <c r="F23" s="424"/>
      <c r="G23" s="424"/>
      <c r="H23" s="425"/>
    </row>
    <row r="24" spans="1:8" s="44" customFormat="1" ht="13.8" x14ac:dyDescent="0.25">
      <c r="A24" s="115">
        <v>4</v>
      </c>
      <c r="B24" s="115"/>
      <c r="C24" s="121" t="s">
        <v>367</v>
      </c>
      <c r="D24" s="115"/>
      <c r="E24" s="115"/>
      <c r="F24" s="115"/>
      <c r="G24" s="115"/>
      <c r="H24" s="115"/>
    </row>
    <row r="25" spans="1:8" s="44" customFormat="1" ht="13.8" x14ac:dyDescent="0.25">
      <c r="A25" s="61" t="s">
        <v>129</v>
      </c>
      <c r="B25" s="61" t="s">
        <v>322</v>
      </c>
      <c r="C25" s="113" t="s">
        <v>721</v>
      </c>
      <c r="D25" s="62" t="s">
        <v>28</v>
      </c>
      <c r="E25" s="110"/>
      <c r="F25" s="62"/>
      <c r="G25" s="62">
        <f>TRUNC(F25*E25,2)</f>
        <v>0</v>
      </c>
      <c r="H25" s="114"/>
    </row>
    <row r="26" spans="1:8" s="44" customFormat="1" ht="13.8" x14ac:dyDescent="0.25">
      <c r="A26" s="61" t="s">
        <v>130</v>
      </c>
      <c r="B26" s="61" t="s">
        <v>337</v>
      </c>
      <c r="C26" s="113" t="s">
        <v>366</v>
      </c>
      <c r="D26" s="61" t="s">
        <v>28</v>
      </c>
      <c r="E26" s="110"/>
      <c r="F26" s="62"/>
      <c r="G26" s="62">
        <f>TRUNC(F26*E26,2)</f>
        <v>0</v>
      </c>
      <c r="H26" s="114"/>
    </row>
    <row r="27" spans="1:8" s="44" customFormat="1" ht="13.8" x14ac:dyDescent="0.25">
      <c r="A27" s="473" t="s">
        <v>354</v>
      </c>
      <c r="B27" s="474"/>
      <c r="C27" s="474"/>
      <c r="D27" s="474"/>
      <c r="E27" s="474"/>
      <c r="F27" s="475"/>
      <c r="G27" s="126">
        <f>SUM(G25:G26)</f>
        <v>0</v>
      </c>
      <c r="H27" s="116"/>
    </row>
    <row r="28" spans="1:8" s="44" customFormat="1" ht="13.2" customHeight="1" x14ac:dyDescent="0.25">
      <c r="A28" s="482"/>
      <c r="B28" s="483"/>
      <c r="C28" s="483"/>
      <c r="D28" s="483"/>
      <c r="E28" s="483"/>
      <c r="F28" s="483"/>
      <c r="G28" s="483"/>
      <c r="H28" s="484"/>
    </row>
    <row r="29" spans="1:8" s="130" customFormat="1" ht="13.8" x14ac:dyDescent="0.25">
      <c r="A29" s="115">
        <v>5</v>
      </c>
      <c r="B29" s="115"/>
      <c r="C29" s="122" t="s">
        <v>368</v>
      </c>
      <c r="D29" s="122"/>
      <c r="E29" s="122"/>
      <c r="F29" s="128"/>
      <c r="G29" s="129"/>
      <c r="H29" s="129"/>
    </row>
    <row r="30" spans="1:8" s="44" customFormat="1" ht="41.4" x14ac:dyDescent="0.25">
      <c r="A30" s="61" t="s">
        <v>135</v>
      </c>
      <c r="B30" s="61" t="s">
        <v>109</v>
      </c>
      <c r="C30" s="131" t="s">
        <v>195</v>
      </c>
      <c r="D30" s="61" t="s">
        <v>5</v>
      </c>
      <c r="E30" s="110"/>
      <c r="F30" s="133"/>
      <c r="G30" s="132">
        <f>TRUNC(F30*E30,2)</f>
        <v>0</v>
      </c>
      <c r="H30" s="134" t="s">
        <v>369</v>
      </c>
    </row>
    <row r="31" spans="1:8" s="44" customFormat="1" ht="13.8" x14ac:dyDescent="0.25">
      <c r="A31" s="473" t="s">
        <v>354</v>
      </c>
      <c r="B31" s="474"/>
      <c r="C31" s="474"/>
      <c r="D31" s="474"/>
      <c r="E31" s="474"/>
      <c r="F31" s="475"/>
      <c r="G31" s="96">
        <f>G30</f>
        <v>0</v>
      </c>
      <c r="H31" s="96"/>
    </row>
    <row r="32" spans="1:8" s="44" customFormat="1" ht="13.8" x14ac:dyDescent="0.25">
      <c r="A32" s="423"/>
      <c r="B32" s="424"/>
      <c r="C32" s="424"/>
      <c r="D32" s="424"/>
      <c r="E32" s="424"/>
      <c r="F32" s="424"/>
      <c r="G32" s="424"/>
      <c r="H32" s="425"/>
    </row>
    <row r="33" spans="1:8" s="44" customFormat="1" ht="13.8" x14ac:dyDescent="0.25">
      <c r="A33" s="115">
        <v>6</v>
      </c>
      <c r="B33" s="115"/>
      <c r="C33" s="121" t="s">
        <v>370</v>
      </c>
      <c r="D33" s="115"/>
      <c r="E33" s="115"/>
      <c r="F33" s="115"/>
      <c r="G33" s="115"/>
      <c r="H33" s="115"/>
    </row>
    <row r="34" spans="1:8" s="44" customFormat="1" ht="27.6" x14ac:dyDescent="0.25">
      <c r="A34" s="61" t="s">
        <v>140</v>
      </c>
      <c r="B34" s="61" t="s">
        <v>371</v>
      </c>
      <c r="C34" s="82" t="s">
        <v>372</v>
      </c>
      <c r="D34" s="62" t="s">
        <v>28</v>
      </c>
      <c r="E34" s="110"/>
      <c r="F34" s="62"/>
      <c r="G34" s="62">
        <f>TRUNC(F34*E34,2)</f>
        <v>0</v>
      </c>
      <c r="H34" s="114"/>
    </row>
    <row r="35" spans="1:8" s="44" customFormat="1" ht="13.8" x14ac:dyDescent="0.25">
      <c r="A35" s="61" t="s">
        <v>142</v>
      </c>
      <c r="B35" s="61" t="s">
        <v>109</v>
      </c>
      <c r="C35" s="113" t="s">
        <v>373</v>
      </c>
      <c r="D35" s="61" t="s">
        <v>5</v>
      </c>
      <c r="E35" s="110"/>
      <c r="F35" s="62"/>
      <c r="G35" s="62">
        <f>TRUNC(F35*E35,2)</f>
        <v>0</v>
      </c>
      <c r="H35" s="114"/>
    </row>
    <row r="36" spans="1:8" s="44" customFormat="1" ht="13.8" x14ac:dyDescent="0.25">
      <c r="A36" s="473" t="s">
        <v>354</v>
      </c>
      <c r="B36" s="474"/>
      <c r="C36" s="474"/>
      <c r="D36" s="474"/>
      <c r="E36" s="474"/>
      <c r="F36" s="475"/>
      <c r="G36" s="96">
        <f>SUM(G34:G35)</f>
        <v>0</v>
      </c>
      <c r="H36" s="116"/>
    </row>
    <row r="37" spans="1:8" s="44" customFormat="1" ht="13.8" x14ac:dyDescent="0.25">
      <c r="A37" s="482"/>
      <c r="B37" s="483"/>
      <c r="C37" s="483"/>
      <c r="D37" s="483"/>
      <c r="E37" s="483"/>
      <c r="F37" s="483"/>
      <c r="G37" s="483"/>
      <c r="H37" s="484"/>
    </row>
    <row r="38" spans="1:8" s="44" customFormat="1" ht="13.8" x14ac:dyDescent="0.25">
      <c r="A38" s="115">
        <v>7</v>
      </c>
      <c r="B38" s="115"/>
      <c r="C38" s="121" t="s">
        <v>197</v>
      </c>
      <c r="D38" s="115"/>
      <c r="E38" s="115"/>
      <c r="F38" s="115"/>
      <c r="G38" s="115"/>
      <c r="H38" s="115"/>
    </row>
    <row r="39" spans="1:8" s="44" customFormat="1" ht="27.6" x14ac:dyDescent="0.25">
      <c r="A39" s="61" t="s">
        <v>146</v>
      </c>
      <c r="B39" s="61" t="s">
        <v>109</v>
      </c>
      <c r="C39" s="82" t="s">
        <v>170</v>
      </c>
      <c r="D39" s="62" t="s">
        <v>5</v>
      </c>
      <c r="E39" s="110"/>
      <c r="F39" s="62"/>
      <c r="G39" s="62">
        <f>TRUNC(F39*E39,2)</f>
        <v>0</v>
      </c>
      <c r="H39" s="135" t="s">
        <v>369</v>
      </c>
    </row>
    <row r="40" spans="1:8" s="44" customFormat="1" ht="13.8" x14ac:dyDescent="0.25">
      <c r="A40" s="473" t="s">
        <v>354</v>
      </c>
      <c r="B40" s="474"/>
      <c r="C40" s="474"/>
      <c r="D40" s="474"/>
      <c r="E40" s="474"/>
      <c r="F40" s="475"/>
      <c r="G40" s="96">
        <f>SUM(G39)</f>
        <v>0</v>
      </c>
      <c r="H40" s="116"/>
    </row>
    <row r="41" spans="1:8" s="44" customFormat="1" ht="13.8" x14ac:dyDescent="0.25">
      <c r="A41" s="482"/>
      <c r="B41" s="483"/>
      <c r="C41" s="483"/>
      <c r="D41" s="483"/>
      <c r="E41" s="483"/>
      <c r="F41" s="483"/>
      <c r="G41" s="483"/>
      <c r="H41" s="484"/>
    </row>
    <row r="42" spans="1:8" s="44" customFormat="1" ht="13.8" x14ac:dyDescent="0.25">
      <c r="A42" s="473" t="s">
        <v>374</v>
      </c>
      <c r="B42" s="474"/>
      <c r="C42" s="474"/>
      <c r="D42" s="474"/>
      <c r="E42" s="474"/>
      <c r="F42" s="475"/>
      <c r="G42" s="136">
        <f>SUM(G40,G36,G31,G27,G22,G16,G10)</f>
        <v>0</v>
      </c>
      <c r="H42" s="117"/>
    </row>
    <row r="43" spans="1:8" s="44" customFormat="1" ht="13.8" x14ac:dyDescent="0.25">
      <c r="A43" s="473" t="s">
        <v>375</v>
      </c>
      <c r="B43" s="474"/>
      <c r="C43" s="474"/>
      <c r="D43" s="474"/>
      <c r="E43" s="474"/>
      <c r="F43" s="475"/>
      <c r="G43" s="305">
        <f>'Planilha Orçamentária'!F16</f>
        <v>60</v>
      </c>
      <c r="H43" s="117"/>
    </row>
    <row r="44" spans="1:8" s="44" customFormat="1" ht="13.8" x14ac:dyDescent="0.25">
      <c r="A44" s="473" t="s">
        <v>376</v>
      </c>
      <c r="B44" s="474"/>
      <c r="C44" s="474"/>
      <c r="D44" s="474"/>
      <c r="E44" s="474"/>
      <c r="F44" s="475"/>
      <c r="G44" s="136">
        <f>ROUND(G43*G42,2)</f>
        <v>0</v>
      </c>
      <c r="H44" s="117"/>
    </row>
    <row r="45" spans="1:8" s="44" customFormat="1" ht="13.8" x14ac:dyDescent="0.25">
      <c r="A45" s="473" t="s">
        <v>377</v>
      </c>
      <c r="B45" s="474"/>
      <c r="C45" s="474"/>
      <c r="D45" s="474"/>
      <c r="E45" s="474"/>
      <c r="F45" s="475"/>
      <c r="G45" s="127">
        <f>'Planilha Orçamentária'!K19</f>
        <v>0</v>
      </c>
      <c r="H45" s="95"/>
    </row>
    <row r="46" spans="1:8" s="44" customFormat="1" ht="13.8" x14ac:dyDescent="0.25">
      <c r="A46" s="476" t="s">
        <v>378</v>
      </c>
      <c r="B46" s="477"/>
      <c r="C46" s="477"/>
      <c r="D46" s="477"/>
      <c r="E46" s="477"/>
      <c r="F46" s="478"/>
      <c r="G46" s="137" t="e">
        <f>G44/G45</f>
        <v>#DIV/0!</v>
      </c>
      <c r="H46" s="83" t="s">
        <v>379</v>
      </c>
    </row>
  </sheetData>
  <mergeCells count="25">
    <mergeCell ref="A40:F40"/>
    <mergeCell ref="A41:H41"/>
    <mergeCell ref="A16:F16"/>
    <mergeCell ref="H13:H15"/>
    <mergeCell ref="A17:H17"/>
    <mergeCell ref="A32:H32"/>
    <mergeCell ref="A37:H37"/>
    <mergeCell ref="A23:H23"/>
    <mergeCell ref="A28:H28"/>
    <mergeCell ref="A22:F22"/>
    <mergeCell ref="A36:F36"/>
    <mergeCell ref="H19:H21"/>
    <mergeCell ref="A27:F27"/>
    <mergeCell ref="A31:F31"/>
    <mergeCell ref="J6:K6"/>
    <mergeCell ref="A11:H11"/>
    <mergeCell ref="A1:B5"/>
    <mergeCell ref="H5:K5"/>
    <mergeCell ref="H8:H9"/>
    <mergeCell ref="A10:F10"/>
    <mergeCell ref="A42:F42"/>
    <mergeCell ref="A43:F43"/>
    <mergeCell ref="A44:F44"/>
    <mergeCell ref="A45:F45"/>
    <mergeCell ref="A46:F46"/>
  </mergeCells>
  <phoneticPr fontId="29" type="noConversion"/>
  <pageMargins left="0.511811024" right="0.511811024" top="0.78740157499999996" bottom="0.86588541666666663" header="0.31496062000000002" footer="0.31496062000000002"/>
  <pageSetup paperSize="9" scale="70" fitToWidth="0" fitToHeight="0" orientation="portrait" r:id="rId1"/>
  <headerFooter>
    <oddFooter>&amp;RPrefeitura Municipal de Colatina
Travessa Avelino Guerra, 111, Sagrado Coração de Jesus
Telefone: (27) 3177-7000 | https://colatina.es.gov.br/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J75"/>
  <sheetViews>
    <sheetView view="pageBreakPreview" topLeftCell="A61" zoomScaleNormal="100" zoomScaleSheetLayoutView="100" zoomScalePageLayoutView="60" workbookViewId="0">
      <selection activeCell="E45" sqref="E45:F66"/>
    </sheetView>
  </sheetViews>
  <sheetFormatPr defaultColWidth="8.88671875" defaultRowHeight="15.6" x14ac:dyDescent="0.3"/>
  <cols>
    <col min="1" max="1" width="9.88671875" style="30" bestFit="1" customWidth="1"/>
    <col min="2" max="2" width="7.109375" style="30" bestFit="1" customWidth="1"/>
    <col min="3" max="3" width="53" style="30" customWidth="1"/>
    <col min="4" max="4" width="5.109375" style="30" bestFit="1" customWidth="1"/>
    <col min="5" max="5" width="10.109375" style="30" bestFit="1" customWidth="1"/>
    <col min="6" max="6" width="9.33203125" style="30" bestFit="1" customWidth="1"/>
    <col min="7" max="7" width="10.109375" style="30" bestFit="1" customWidth="1"/>
    <col min="8" max="8" width="13.33203125" style="30" bestFit="1" customWidth="1"/>
    <col min="9" max="9" width="8.88671875" style="30"/>
    <col min="10" max="10" width="13.33203125" style="30" bestFit="1" customWidth="1"/>
    <col min="11" max="12" width="8.88671875" style="30"/>
    <col min="13" max="13" width="35.5546875" style="30" bestFit="1" customWidth="1"/>
    <col min="14" max="16384" width="8.88671875" style="30"/>
  </cols>
  <sheetData>
    <row r="1" spans="1:10" x14ac:dyDescent="0.3">
      <c r="A1" s="431"/>
      <c r="B1" s="431"/>
      <c r="C1" s="50" t="str">
        <f>CPU_Serviços!$C$1</f>
        <v>Prefeitura Municipal de Colatina</v>
      </c>
      <c r="D1" s="50"/>
      <c r="E1" s="50"/>
      <c r="F1" s="50"/>
    </row>
    <row r="2" spans="1:10" x14ac:dyDescent="0.3">
      <c r="A2" s="431"/>
      <c r="B2" s="431"/>
      <c r="C2" s="306" t="str">
        <f>CPU_Serviços!$C$2</f>
        <v>Secretaria Municipal de Habitação e Regularização Fundiária</v>
      </c>
      <c r="D2" s="306"/>
      <c r="E2" s="306"/>
      <c r="F2" s="31"/>
    </row>
    <row r="3" spans="1:10" ht="6.6" customHeight="1" x14ac:dyDescent="0.3">
      <c r="A3" s="431"/>
      <c r="B3" s="431"/>
    </row>
    <row r="4" spans="1:10" x14ac:dyDescent="0.3">
      <c r="A4" s="431"/>
      <c r="B4" s="431"/>
      <c r="C4" s="32" t="s">
        <v>735</v>
      </c>
      <c r="D4" s="295"/>
      <c r="E4" s="295"/>
      <c r="F4" s="295"/>
      <c r="G4" s="295"/>
    </row>
    <row r="5" spans="1:10" x14ac:dyDescent="0.3">
      <c r="A5" s="431"/>
      <c r="B5" s="431"/>
      <c r="C5" s="30" t="s">
        <v>318</v>
      </c>
      <c r="G5" s="471"/>
      <c r="H5" s="471"/>
      <c r="I5" s="471"/>
      <c r="J5" s="471"/>
    </row>
    <row r="6" spans="1:10" s="53" customFormat="1" x14ac:dyDescent="0.25">
      <c r="A6" s="241" t="s">
        <v>319</v>
      </c>
      <c r="B6" s="241" t="s">
        <v>320</v>
      </c>
      <c r="C6" s="488" t="s">
        <v>321</v>
      </c>
      <c r="D6" s="489"/>
      <c r="E6" s="490"/>
      <c r="F6" s="242" t="s">
        <v>329</v>
      </c>
      <c r="G6" s="242" t="s">
        <v>330</v>
      </c>
      <c r="H6" s="51"/>
      <c r="I6" s="468"/>
      <c r="J6" s="468"/>
    </row>
    <row r="7" spans="1:10" s="44" customFormat="1" ht="13.8" x14ac:dyDescent="0.25">
      <c r="A7" s="283" t="s">
        <v>322</v>
      </c>
      <c r="B7" s="283"/>
      <c r="C7" s="491" t="s">
        <v>323</v>
      </c>
      <c r="D7" s="492"/>
      <c r="E7" s="493"/>
      <c r="F7" s="283" t="s">
        <v>28</v>
      </c>
      <c r="G7" s="284">
        <f>G34</f>
        <v>0</v>
      </c>
      <c r="H7" s="54"/>
      <c r="I7" s="54"/>
      <c r="J7" s="54"/>
    </row>
    <row r="8" spans="1:10" s="44" customFormat="1" ht="13.8" x14ac:dyDescent="0.25">
      <c r="A8" s="423"/>
      <c r="B8" s="424"/>
      <c r="C8" s="424"/>
      <c r="D8" s="424"/>
      <c r="E8" s="424"/>
      <c r="F8" s="424"/>
      <c r="G8" s="425"/>
      <c r="H8" s="59"/>
      <c r="I8" s="38"/>
      <c r="J8" s="60"/>
    </row>
    <row r="9" spans="1:10" s="89" customFormat="1" ht="13.8" x14ac:dyDescent="0.25">
      <c r="A9" s="5" t="s">
        <v>50</v>
      </c>
      <c r="B9" s="5" t="s">
        <v>324</v>
      </c>
      <c r="C9" s="5" t="s">
        <v>325</v>
      </c>
      <c r="D9" s="5" t="s">
        <v>326</v>
      </c>
      <c r="E9" s="5" t="s">
        <v>280</v>
      </c>
      <c r="F9" s="5" t="s">
        <v>327</v>
      </c>
      <c r="G9" s="5" t="s">
        <v>328</v>
      </c>
    </row>
    <row r="10" spans="1:10" s="89" customFormat="1" ht="13.8" x14ac:dyDescent="0.25">
      <c r="A10" s="86"/>
      <c r="B10" s="86"/>
      <c r="C10" s="91"/>
      <c r="D10" s="88"/>
      <c r="E10" s="90"/>
      <c r="F10" s="88"/>
      <c r="G10" s="92">
        <f>F10*E10</f>
        <v>0</v>
      </c>
    </row>
    <row r="11" spans="1:10" s="89" customFormat="1" ht="13.8" x14ac:dyDescent="0.25">
      <c r="A11" s="86"/>
      <c r="B11" s="86"/>
      <c r="C11" s="91"/>
      <c r="D11" s="86"/>
      <c r="E11" s="90"/>
      <c r="F11" s="88"/>
      <c r="G11" s="92">
        <f>F11*E11</f>
        <v>0</v>
      </c>
    </row>
    <row r="12" spans="1:10" s="89" customFormat="1" ht="13.8" x14ac:dyDescent="0.25">
      <c r="A12" s="405" t="s">
        <v>332</v>
      </c>
      <c r="B12" s="406"/>
      <c r="C12" s="406"/>
      <c r="D12" s="406"/>
      <c r="E12" s="406"/>
      <c r="F12" s="407"/>
      <c r="G12" s="93">
        <f>SUM(G10:G11)</f>
        <v>0</v>
      </c>
    </row>
    <row r="13" spans="1:10" s="89" customFormat="1" ht="13.8" x14ac:dyDescent="0.25">
      <c r="A13" s="369"/>
      <c r="B13" s="370"/>
      <c r="C13" s="370"/>
      <c r="D13" s="370"/>
      <c r="E13" s="370"/>
      <c r="F13" s="370"/>
      <c r="G13" s="371"/>
    </row>
    <row r="14" spans="1:10" s="89" customFormat="1" ht="13.8" x14ac:dyDescent="0.25">
      <c r="A14" s="5" t="s">
        <v>50</v>
      </c>
      <c r="B14" s="5" t="s">
        <v>324</v>
      </c>
      <c r="C14" s="5" t="s">
        <v>331</v>
      </c>
      <c r="D14" s="5" t="s">
        <v>326</v>
      </c>
      <c r="E14" s="5" t="s">
        <v>280</v>
      </c>
      <c r="F14" s="5" t="s">
        <v>327</v>
      </c>
      <c r="G14" s="5" t="s">
        <v>426</v>
      </c>
    </row>
    <row r="15" spans="1:10" s="89" customFormat="1" ht="13.8" x14ac:dyDescent="0.25">
      <c r="A15" s="86" t="s">
        <v>639</v>
      </c>
      <c r="B15" s="86" t="s">
        <v>109</v>
      </c>
      <c r="C15" s="91" t="str">
        <f>VLOOKUP(A15,'K2_Insumos-Limp.'!$B$8:$J$19,2,FALSE)</f>
        <v>Esponja dupla face (pacote com 10und)</v>
      </c>
      <c r="D15" s="88" t="s">
        <v>651</v>
      </c>
      <c r="E15" s="90"/>
      <c r="F15" s="88"/>
      <c r="G15" s="92">
        <f>F15*E15</f>
        <v>0</v>
      </c>
    </row>
    <row r="16" spans="1:10" s="89" customFormat="1" ht="13.8" x14ac:dyDescent="0.25">
      <c r="A16" s="86" t="s">
        <v>640</v>
      </c>
      <c r="B16" s="86" t="s">
        <v>109</v>
      </c>
      <c r="C16" s="91" t="str">
        <f>VLOOKUP(A16,'K2_Insumos-Limp.'!$B$8:$J$19,2,FALSE)</f>
        <v>Desinfetante uso geral embalagem com 5l</v>
      </c>
      <c r="D16" s="86" t="s">
        <v>5</v>
      </c>
      <c r="E16" s="90"/>
      <c r="F16" s="88"/>
      <c r="G16" s="92">
        <f t="shared" ref="G16:G26" si="0">F16*E16</f>
        <v>0</v>
      </c>
    </row>
    <row r="17" spans="1:7" s="89" customFormat="1" ht="13.8" x14ac:dyDescent="0.25">
      <c r="A17" s="86" t="s">
        <v>641</v>
      </c>
      <c r="B17" s="86" t="s">
        <v>109</v>
      </c>
      <c r="C17" s="91" t="str">
        <f>VLOOKUP(A17,'K2_Insumos-Limp.'!$B$8:$J$19,2,FALSE)</f>
        <v>Papel higiênico 30m (12 und)</v>
      </c>
      <c r="D17" s="88" t="s">
        <v>651</v>
      </c>
      <c r="E17" s="90"/>
      <c r="F17" s="88"/>
      <c r="G17" s="92">
        <f t="shared" si="0"/>
        <v>0</v>
      </c>
    </row>
    <row r="18" spans="1:7" s="89" customFormat="1" ht="13.8" x14ac:dyDescent="0.25">
      <c r="A18" s="86" t="s">
        <v>642</v>
      </c>
      <c r="B18" s="86" t="s">
        <v>109</v>
      </c>
      <c r="C18" s="91" t="str">
        <f>VLOOKUP(A18,'K2_Insumos-Limp.'!$B$8:$J$19,2,FALSE)</f>
        <v>Papel toalha 1000fl</v>
      </c>
      <c r="D18" s="86" t="s">
        <v>651</v>
      </c>
      <c r="E18" s="90"/>
      <c r="F18" s="88"/>
      <c r="G18" s="92">
        <f t="shared" si="0"/>
        <v>0</v>
      </c>
    </row>
    <row r="19" spans="1:7" s="89" customFormat="1" ht="13.8" x14ac:dyDescent="0.25">
      <c r="A19" s="86" t="s">
        <v>643</v>
      </c>
      <c r="B19" s="86" t="s">
        <v>109</v>
      </c>
      <c r="C19" s="91" t="str">
        <f>VLOOKUP(A19,'K2_Insumos-Limp.'!$B$8:$J$19,2,FALSE)</f>
        <v>Sabão em pó (5 kg)</v>
      </c>
      <c r="D19" s="88" t="s">
        <v>5</v>
      </c>
      <c r="E19" s="90"/>
      <c r="F19" s="88"/>
      <c r="G19" s="92">
        <f t="shared" si="0"/>
        <v>0</v>
      </c>
    </row>
    <row r="20" spans="1:7" s="89" customFormat="1" ht="13.8" x14ac:dyDescent="0.25">
      <c r="A20" s="86" t="s">
        <v>644</v>
      </c>
      <c r="B20" s="86" t="s">
        <v>109</v>
      </c>
      <c r="C20" s="91" t="str">
        <f>VLOOKUP(A20,'K2_Insumos-Limp.'!$B$8:$J$19,2,FALSE)</f>
        <v>Sabonete líquido (embalagem 5l)</v>
      </c>
      <c r="D20" s="86" t="s">
        <v>5</v>
      </c>
      <c r="E20" s="90"/>
      <c r="F20" s="88"/>
      <c r="G20" s="92">
        <f t="shared" si="0"/>
        <v>0</v>
      </c>
    </row>
    <row r="21" spans="1:7" s="89" customFormat="1" ht="13.8" x14ac:dyDescent="0.25">
      <c r="A21" s="86" t="s">
        <v>645</v>
      </c>
      <c r="B21" s="86" t="s">
        <v>109</v>
      </c>
      <c r="C21" s="91" t="str">
        <f>VLOOKUP(A21,'K2_Insumos-Limp.'!$B$8:$J$19,2,FALSE)</f>
        <v>Saco de lixo com 20l (embalagem com 100und)</v>
      </c>
      <c r="D21" s="88" t="s">
        <v>651</v>
      </c>
      <c r="E21" s="90"/>
      <c r="F21" s="88"/>
      <c r="G21" s="92">
        <f t="shared" si="0"/>
        <v>0</v>
      </c>
    </row>
    <row r="22" spans="1:7" s="89" customFormat="1" ht="13.8" x14ac:dyDescent="0.25">
      <c r="A22" s="86" t="s">
        <v>646</v>
      </c>
      <c r="B22" s="86" t="s">
        <v>109</v>
      </c>
      <c r="C22" s="91" t="str">
        <f>VLOOKUP(A22,'K2_Insumos-Limp.'!$B$8:$J$19,2,FALSE)</f>
        <v>Saco de lixo com 60l (embalagem com 100und)</v>
      </c>
      <c r="D22" s="88" t="s">
        <v>651</v>
      </c>
      <c r="E22" s="90"/>
      <c r="F22" s="88"/>
      <c r="G22" s="92">
        <f t="shared" si="0"/>
        <v>0</v>
      </c>
    </row>
    <row r="23" spans="1:7" s="89" customFormat="1" ht="13.8" x14ac:dyDescent="0.25">
      <c r="A23" s="86" t="s">
        <v>647</v>
      </c>
      <c r="B23" s="86" t="s">
        <v>109</v>
      </c>
      <c r="C23" s="91" t="str">
        <f>VLOOKUP(A23,'K2_Insumos-Limp.'!$B$8:$J$19,2,FALSE)</f>
        <v>Saco de lixo com 100l (embalagem com 100und)</v>
      </c>
      <c r="D23" s="88" t="s">
        <v>651</v>
      </c>
      <c r="E23" s="90"/>
      <c r="F23" s="88"/>
      <c r="G23" s="92">
        <f t="shared" si="0"/>
        <v>0</v>
      </c>
    </row>
    <row r="24" spans="1:7" s="89" customFormat="1" ht="13.8" x14ac:dyDescent="0.25">
      <c r="A24" s="86" t="s">
        <v>648</v>
      </c>
      <c r="B24" s="86" t="s">
        <v>109</v>
      </c>
      <c r="C24" s="91" t="str">
        <f>VLOOKUP(A24,'K2_Insumos-Limp.'!$B$8:$J$19,2,FALSE)</f>
        <v>Limpa vidros 500ml</v>
      </c>
      <c r="D24" s="86" t="s">
        <v>5</v>
      </c>
      <c r="E24" s="90"/>
      <c r="F24" s="88"/>
      <c r="G24" s="92">
        <f t="shared" si="0"/>
        <v>0</v>
      </c>
    </row>
    <row r="25" spans="1:7" s="89" customFormat="1" ht="13.8" x14ac:dyDescent="0.25">
      <c r="A25" s="86" t="s">
        <v>649</v>
      </c>
      <c r="B25" s="86" t="s">
        <v>109</v>
      </c>
      <c r="C25" s="91" t="str">
        <f>VLOOKUP(A25,'K2_Insumos-Limp.'!$B$8:$J$19,2,FALSE)</f>
        <v>Detergente líquido (galão com 5l)</v>
      </c>
      <c r="D25" s="88" t="s">
        <v>5</v>
      </c>
      <c r="E25" s="90"/>
      <c r="F25" s="88"/>
      <c r="G25" s="92">
        <f t="shared" si="0"/>
        <v>0</v>
      </c>
    </row>
    <row r="26" spans="1:7" s="89" customFormat="1" ht="13.8" x14ac:dyDescent="0.25">
      <c r="A26" s="86" t="s">
        <v>650</v>
      </c>
      <c r="B26" s="86" t="s">
        <v>109</v>
      </c>
      <c r="C26" s="91" t="str">
        <f>VLOOKUP(A26,'K2_Insumos-Limp.'!$B$8:$J$19,2,FALSE)</f>
        <v>Lã de aço (embalagem com 8 und)</v>
      </c>
      <c r="D26" s="86" t="s">
        <v>651</v>
      </c>
      <c r="E26" s="90"/>
      <c r="F26" s="88"/>
      <c r="G26" s="92">
        <f t="shared" si="0"/>
        <v>0</v>
      </c>
    </row>
    <row r="27" spans="1:7" x14ac:dyDescent="0.3">
      <c r="A27" s="405" t="s">
        <v>333</v>
      </c>
      <c r="B27" s="406"/>
      <c r="C27" s="406"/>
      <c r="D27" s="406"/>
      <c r="E27" s="406"/>
      <c r="F27" s="407"/>
      <c r="G27" s="94">
        <f>TRUNC(SUM(G15:G26),2)</f>
        <v>0</v>
      </c>
    </row>
    <row r="28" spans="1:7" s="85" customFormat="1" ht="13.8" x14ac:dyDescent="0.3">
      <c r="A28" s="408"/>
      <c r="B28" s="409"/>
      <c r="C28" s="409"/>
      <c r="D28" s="409"/>
      <c r="E28" s="409"/>
      <c r="F28" s="409"/>
      <c r="G28" s="410"/>
    </row>
    <row r="29" spans="1:7" x14ac:dyDescent="0.3">
      <c r="A29" s="5" t="s">
        <v>50</v>
      </c>
      <c r="B29" s="5" t="s">
        <v>324</v>
      </c>
      <c r="C29" s="5" t="s">
        <v>334</v>
      </c>
      <c r="D29" s="5" t="s">
        <v>326</v>
      </c>
      <c r="E29" s="5" t="s">
        <v>280</v>
      </c>
      <c r="F29" s="5" t="s">
        <v>327</v>
      </c>
      <c r="G29" s="5" t="s">
        <v>722</v>
      </c>
    </row>
    <row r="30" spans="1:7" x14ac:dyDescent="0.3">
      <c r="A30" s="86"/>
      <c r="B30" s="86"/>
      <c r="C30" s="91"/>
      <c r="D30" s="88"/>
      <c r="E30" s="90"/>
      <c r="F30" s="88"/>
      <c r="G30" s="92">
        <f>F30*E30</f>
        <v>0</v>
      </c>
    </row>
    <row r="31" spans="1:7" x14ac:dyDescent="0.3">
      <c r="A31" s="86"/>
      <c r="B31" s="86"/>
      <c r="C31" s="91"/>
      <c r="D31" s="86"/>
      <c r="E31" s="90"/>
      <c r="F31" s="88"/>
      <c r="G31" s="92">
        <f>F31*E31</f>
        <v>0</v>
      </c>
    </row>
    <row r="32" spans="1:7" x14ac:dyDescent="0.3">
      <c r="A32" s="405" t="s">
        <v>335</v>
      </c>
      <c r="B32" s="406"/>
      <c r="C32" s="406"/>
      <c r="D32" s="406"/>
      <c r="E32" s="406"/>
      <c r="F32" s="407"/>
      <c r="G32" s="93">
        <f>SUM(G30:G31)</f>
        <v>0</v>
      </c>
    </row>
    <row r="33" spans="1:7" ht="13.2" customHeight="1" x14ac:dyDescent="0.3">
      <c r="A33" s="369"/>
      <c r="B33" s="370"/>
      <c r="C33" s="370"/>
      <c r="D33" s="370"/>
      <c r="E33" s="370"/>
      <c r="F33" s="370"/>
      <c r="G33" s="371"/>
    </row>
    <row r="34" spans="1:7" x14ac:dyDescent="0.3">
      <c r="A34" s="494" t="s">
        <v>336</v>
      </c>
      <c r="B34" s="494"/>
      <c r="C34" s="494"/>
      <c r="D34" s="494"/>
      <c r="E34" s="494"/>
      <c r="F34" s="494"/>
      <c r="G34" s="95">
        <f>ROUND(G32+G27+G12,2)</f>
        <v>0</v>
      </c>
    </row>
    <row r="35" spans="1:7" ht="13.2" customHeight="1" x14ac:dyDescent="0.3">
      <c r="A35" s="369"/>
      <c r="B35" s="370"/>
      <c r="C35" s="370"/>
      <c r="D35" s="370"/>
      <c r="E35" s="370"/>
      <c r="F35" s="370"/>
      <c r="G35" s="371"/>
    </row>
    <row r="36" spans="1:7" x14ac:dyDescent="0.3">
      <c r="A36" s="241" t="s">
        <v>319</v>
      </c>
      <c r="B36" s="241" t="s">
        <v>320</v>
      </c>
      <c r="C36" s="488" t="s">
        <v>321</v>
      </c>
      <c r="D36" s="489"/>
      <c r="E36" s="490"/>
      <c r="F36" s="242" t="s">
        <v>329</v>
      </c>
      <c r="G36" s="242" t="s">
        <v>330</v>
      </c>
    </row>
    <row r="37" spans="1:7" x14ac:dyDescent="0.3">
      <c r="A37" s="283" t="s">
        <v>337</v>
      </c>
      <c r="B37" s="283"/>
      <c r="C37" s="491" t="s">
        <v>338</v>
      </c>
      <c r="D37" s="492"/>
      <c r="E37" s="493"/>
      <c r="F37" s="283" t="s">
        <v>28</v>
      </c>
      <c r="G37" s="284">
        <f>G74</f>
        <v>0</v>
      </c>
    </row>
    <row r="38" spans="1:7" x14ac:dyDescent="0.3">
      <c r="A38" s="423"/>
      <c r="B38" s="424"/>
      <c r="C38" s="424"/>
      <c r="D38" s="424"/>
      <c r="E38" s="424"/>
      <c r="F38" s="424"/>
      <c r="G38" s="425"/>
    </row>
    <row r="39" spans="1:7" x14ac:dyDescent="0.3">
      <c r="A39" s="5" t="s">
        <v>50</v>
      </c>
      <c r="B39" s="5" t="s">
        <v>324</v>
      </c>
      <c r="C39" s="5" t="s">
        <v>325</v>
      </c>
      <c r="D39" s="5" t="s">
        <v>326</v>
      </c>
      <c r="E39" s="5" t="s">
        <v>280</v>
      </c>
      <c r="F39" s="5" t="s">
        <v>327</v>
      </c>
      <c r="G39" s="5" t="s">
        <v>328</v>
      </c>
    </row>
    <row r="40" spans="1:7" x14ac:dyDescent="0.3">
      <c r="A40" s="86"/>
      <c r="B40" s="86"/>
      <c r="C40" s="91"/>
      <c r="D40" s="88"/>
      <c r="E40" s="90"/>
      <c r="F40" s="88"/>
      <c r="G40" s="92">
        <f>F40*E40</f>
        <v>0</v>
      </c>
    </row>
    <row r="41" spans="1:7" x14ac:dyDescent="0.3">
      <c r="A41" s="86"/>
      <c r="B41" s="86"/>
      <c r="C41" s="91"/>
      <c r="D41" s="86"/>
      <c r="E41" s="90"/>
      <c r="F41" s="88"/>
      <c r="G41" s="92">
        <f>F41*E41</f>
        <v>0</v>
      </c>
    </row>
    <row r="42" spans="1:7" x14ac:dyDescent="0.3">
      <c r="A42" s="405" t="s">
        <v>332</v>
      </c>
      <c r="B42" s="406"/>
      <c r="C42" s="406"/>
      <c r="D42" s="406"/>
      <c r="E42" s="406"/>
      <c r="F42" s="407"/>
      <c r="G42" s="93">
        <f>SUM(G40:G41)</f>
        <v>0</v>
      </c>
    </row>
    <row r="43" spans="1:7" x14ac:dyDescent="0.3">
      <c r="A43" s="369"/>
      <c r="B43" s="370"/>
      <c r="C43" s="370"/>
      <c r="D43" s="370"/>
      <c r="E43" s="370"/>
      <c r="F43" s="370"/>
      <c r="G43" s="371"/>
    </row>
    <row r="44" spans="1:7" x14ac:dyDescent="0.3">
      <c r="A44" s="5" t="s">
        <v>50</v>
      </c>
      <c r="B44" s="5" t="s">
        <v>324</v>
      </c>
      <c r="C44" s="5" t="s">
        <v>331</v>
      </c>
      <c r="D44" s="5" t="s">
        <v>326</v>
      </c>
      <c r="E44" s="5" t="s">
        <v>280</v>
      </c>
      <c r="F44" s="5" t="s">
        <v>327</v>
      </c>
      <c r="G44" s="5" t="s">
        <v>426</v>
      </c>
    </row>
    <row r="45" spans="1:7" x14ac:dyDescent="0.3">
      <c r="A45" s="86" t="s">
        <v>622</v>
      </c>
      <c r="B45" s="86" t="s">
        <v>109</v>
      </c>
      <c r="C45" s="91" t="str">
        <f>VLOOKUP(A45,'K2_Insumos-Adm'!$B$8:$H$24,2,FALSE)</f>
        <v>Papel A4 (10 resmas com 500 folhas)</v>
      </c>
      <c r="D45" s="88" t="str">
        <f>VLOOKUP(C45,'MC_CPU-K2-02'!$A$7:$D$72,4,FALSE)</f>
        <v>pct</v>
      </c>
      <c r="E45" s="90"/>
      <c r="F45" s="88"/>
      <c r="G45" s="92">
        <f>F45*E45</f>
        <v>0</v>
      </c>
    </row>
    <row r="46" spans="1:7" x14ac:dyDescent="0.3">
      <c r="A46" s="86" t="s">
        <v>623</v>
      </c>
      <c r="B46" s="86" t="s">
        <v>109</v>
      </c>
      <c r="C46" s="91" t="str">
        <f>VLOOKUP(A46,'K2_Insumos-Adm'!$B$8:$H$24,2,FALSE)</f>
        <v>Borracha plástica (com 24 und)</v>
      </c>
      <c r="D46" s="88" t="str">
        <f>VLOOKUP(C46,'MC_CPU-K2-02'!$A$7:$D$72,4,FALSE)</f>
        <v>cx</v>
      </c>
      <c r="E46" s="90"/>
      <c r="F46" s="88"/>
      <c r="G46" s="92">
        <f t="shared" ref="G46:G56" si="1">F46*E46</f>
        <v>0</v>
      </c>
    </row>
    <row r="47" spans="1:7" x14ac:dyDescent="0.3">
      <c r="A47" s="86" t="s">
        <v>624</v>
      </c>
      <c r="B47" s="86" t="s">
        <v>109</v>
      </c>
      <c r="C47" s="91" t="str">
        <f>VLOOKUP(A47,'K2_Insumos-Adm'!$B$8:$H$24,2,FALSE)</f>
        <v>Caneta Esferográfica vermelha (caixa 50 und)</v>
      </c>
      <c r="D47" s="88" t="str">
        <f>VLOOKUP(C47,'MC_CPU-K2-02'!$A$7:$D$72,4,FALSE)</f>
        <v>cx</v>
      </c>
      <c r="E47" s="90"/>
      <c r="F47" s="88"/>
      <c r="G47" s="92">
        <f t="shared" si="1"/>
        <v>0</v>
      </c>
    </row>
    <row r="48" spans="1:7" x14ac:dyDescent="0.3">
      <c r="A48" s="86" t="s">
        <v>625</v>
      </c>
      <c r="B48" s="86" t="s">
        <v>109</v>
      </c>
      <c r="C48" s="91" t="str">
        <f>VLOOKUP(A48,'K2_Insumos-Adm'!$B$8:$H$24,2,FALSE)</f>
        <v>Caneta Esferográfica azul (caixa 50 und)</v>
      </c>
      <c r="D48" s="88" t="str">
        <f>VLOOKUP(C48,'MC_CPU-K2-02'!$A$7:$D$72,4,FALSE)</f>
        <v>cx</v>
      </c>
      <c r="E48" s="90"/>
      <c r="F48" s="88"/>
      <c r="G48" s="92">
        <f t="shared" si="1"/>
        <v>0</v>
      </c>
    </row>
    <row r="49" spans="1:7" ht="16.2" customHeight="1" x14ac:dyDescent="0.3">
      <c r="A49" s="86" t="s">
        <v>626</v>
      </c>
      <c r="B49" s="86" t="s">
        <v>109</v>
      </c>
      <c r="C49" s="91" t="str">
        <f>VLOOKUP(A49,'K2_Insumos-Adm'!$B$8:$H$24,2,FALSE)</f>
        <v>Caneta marca texto (caixa com 12und)</v>
      </c>
      <c r="D49" s="88" t="str">
        <f>VLOOKUP(C49,'MC_CPU-K2-02'!$A$7:$D$72,4,FALSE)</f>
        <v>cx</v>
      </c>
      <c r="E49" s="90"/>
      <c r="F49" s="88"/>
      <c r="G49" s="92">
        <f t="shared" si="1"/>
        <v>0</v>
      </c>
    </row>
    <row r="50" spans="1:7" x14ac:dyDescent="0.3">
      <c r="A50" s="86" t="s">
        <v>627</v>
      </c>
      <c r="B50" s="86" t="s">
        <v>109</v>
      </c>
      <c r="C50" s="91" t="str">
        <f>VLOOKUP(A50,'K2_Insumos-Adm'!$B$8:$H$24,2,FALSE)</f>
        <v>Clipes n.º 2/0 caixa com 730und</v>
      </c>
      <c r="D50" s="88" t="str">
        <f>VLOOKUP(C50,'MC_CPU-K2-02'!$A$7:$D$72,4,FALSE)</f>
        <v>cx</v>
      </c>
      <c r="E50" s="90"/>
      <c r="F50" s="88"/>
      <c r="G50" s="92">
        <f t="shared" si="1"/>
        <v>0</v>
      </c>
    </row>
    <row r="51" spans="1:7" x14ac:dyDescent="0.3">
      <c r="A51" s="86" t="s">
        <v>628</v>
      </c>
      <c r="B51" s="86" t="s">
        <v>109</v>
      </c>
      <c r="C51" s="91" t="str">
        <f>VLOOKUP(A51,'K2_Insumos-Adm'!$B$8:$H$24,2,FALSE)</f>
        <v>Clipes n.º 8/0 caixa com 137und</v>
      </c>
      <c r="D51" s="88" t="str">
        <f>VLOOKUP(C51,'MC_CPU-K2-02'!$A$7:$D$72,4,FALSE)</f>
        <v>cx</v>
      </c>
      <c r="E51" s="90"/>
      <c r="F51" s="88"/>
      <c r="G51" s="92">
        <f t="shared" si="1"/>
        <v>0</v>
      </c>
    </row>
    <row r="52" spans="1:7" x14ac:dyDescent="0.3">
      <c r="A52" s="86" t="s">
        <v>629</v>
      </c>
      <c r="B52" s="86" t="s">
        <v>109</v>
      </c>
      <c r="C52" s="91" t="str">
        <f>VLOOKUP(A52,'K2_Insumos-Adm'!$B$8:$H$24,2,FALSE)</f>
        <v>Cola branca 40g (pacote com 12 und)</v>
      </c>
      <c r="D52" s="88" t="str">
        <f>VLOOKUP(C52,'MC_CPU-K2-02'!$A$7:$D$72,4,FALSE)</f>
        <v>pct</v>
      </c>
      <c r="E52" s="90"/>
      <c r="F52" s="88"/>
      <c r="G52" s="92">
        <f t="shared" si="1"/>
        <v>0</v>
      </c>
    </row>
    <row r="53" spans="1:7" x14ac:dyDescent="0.3">
      <c r="A53" s="86" t="s">
        <v>630</v>
      </c>
      <c r="B53" s="86" t="s">
        <v>109</v>
      </c>
      <c r="C53" s="91" t="str">
        <f>VLOOKUP(A53,'K2_Insumos-Adm'!$B$8:$H$24,2,FALSE)</f>
        <v>Envelope papel 240x340mm (com 100 und)</v>
      </c>
      <c r="D53" s="88" t="str">
        <f>VLOOKUP(C53,'MC_CPU-K2-02'!$A$7:$D$72,4,FALSE)</f>
        <v>pct</v>
      </c>
      <c r="E53" s="90"/>
      <c r="F53" s="88"/>
      <c r="G53" s="92">
        <f t="shared" si="1"/>
        <v>0</v>
      </c>
    </row>
    <row r="54" spans="1:7" ht="16.2" customHeight="1" x14ac:dyDescent="0.3">
      <c r="A54" s="86" t="s">
        <v>631</v>
      </c>
      <c r="B54" s="86" t="s">
        <v>109</v>
      </c>
      <c r="C54" s="91" t="str">
        <f>VLOOKUP(A54,'K2_Insumos-Adm'!$B$8:$H$24,2,FALSE)</f>
        <v>Fita adesiva 18mmx50m (caixa com 7 und)</v>
      </c>
      <c r="D54" s="88" t="str">
        <f>VLOOKUP(C54,'MC_CPU-K2-02'!$A$7:$D$72,4,FALSE)</f>
        <v>pct</v>
      </c>
      <c r="E54" s="90"/>
      <c r="F54" s="88"/>
      <c r="G54" s="92">
        <f t="shared" si="1"/>
        <v>0</v>
      </c>
    </row>
    <row r="55" spans="1:7" x14ac:dyDescent="0.3">
      <c r="A55" s="86" t="s">
        <v>632</v>
      </c>
      <c r="B55" s="86" t="s">
        <v>109</v>
      </c>
      <c r="C55" s="91" t="str">
        <f>VLOOKUP(A55,'K2_Insumos-Adm'!$B$8:$H$24,2,FALSE)</f>
        <v>Grafite 0,7mm HB (pacote com 12 caixas com 12 minas)</v>
      </c>
      <c r="D55" s="88" t="str">
        <f>VLOOKUP(C55,'MC_CPU-K2-02'!$A$7:$D$72,4,FALSE)</f>
        <v>pct</v>
      </c>
      <c r="E55" s="90"/>
      <c r="F55" s="88"/>
      <c r="G55" s="92">
        <f t="shared" si="1"/>
        <v>0</v>
      </c>
    </row>
    <row r="56" spans="1:7" x14ac:dyDescent="0.3">
      <c r="A56" s="86" t="s">
        <v>633</v>
      </c>
      <c r="B56" s="86" t="s">
        <v>109</v>
      </c>
      <c r="C56" s="91" t="str">
        <f>VLOOKUP(A56,'K2_Insumos-Adm'!$B$8:$H$24,2,FALSE)</f>
        <v>Lapiseira plástica 0,7mm</v>
      </c>
      <c r="D56" s="88" t="str">
        <f>VLOOKUP(C56,'MC_CPU-K2-02'!$A$7:$D$72,4,FALSE)</f>
        <v>und</v>
      </c>
      <c r="E56" s="90"/>
      <c r="F56" s="88"/>
      <c r="G56" s="92">
        <f t="shared" si="1"/>
        <v>0</v>
      </c>
    </row>
    <row r="57" spans="1:7" x14ac:dyDescent="0.3">
      <c r="A57" s="86" t="s">
        <v>634</v>
      </c>
      <c r="B57" s="86" t="s">
        <v>109</v>
      </c>
      <c r="C57" s="91" t="str">
        <f>VLOOKUP(A57,'K2_Insumos-Adm'!$B$8:$H$24,2,FALSE)</f>
        <v>Caneta CD/DVD preta</v>
      </c>
      <c r="D57" s="88" t="str">
        <f>VLOOKUP(C57,'MC_CPU-K2-02'!$A$7:$D$72,4,FALSE)</f>
        <v>und</v>
      </c>
      <c r="E57" s="90"/>
      <c r="F57" s="88"/>
      <c r="G57" s="92">
        <f t="shared" ref="G57:G61" si="2">F57*E57</f>
        <v>0</v>
      </c>
    </row>
    <row r="58" spans="1:7" x14ac:dyDescent="0.3">
      <c r="A58" s="86" t="s">
        <v>635</v>
      </c>
      <c r="B58" s="86" t="s">
        <v>109</v>
      </c>
      <c r="C58" s="91" t="str">
        <f>VLOOKUP(A58,'K2_Insumos-Adm'!$B$8:$H$24,2,FALSE)</f>
        <v>Cola Bastão 10g (caixa com 12 und)</v>
      </c>
      <c r="D58" s="88" t="str">
        <f>VLOOKUP(C58,'MC_CPU-K2-02'!$A$7:$D$72,4,FALSE)</f>
        <v>cx</v>
      </c>
      <c r="E58" s="90"/>
      <c r="F58" s="88"/>
      <c r="G58" s="92">
        <f t="shared" si="2"/>
        <v>0</v>
      </c>
    </row>
    <row r="59" spans="1:7" ht="16.2" customHeight="1" x14ac:dyDescent="0.3">
      <c r="A59" s="86" t="s">
        <v>636</v>
      </c>
      <c r="B59" s="86" t="s">
        <v>109</v>
      </c>
      <c r="C59" s="91" t="str">
        <f>VLOOKUP(A59,'K2_Insumos-Adm'!$B$8:$H$24,2,FALSE)</f>
        <v>Grampo 26/6 cobreado (caixa com 5000 und)</v>
      </c>
      <c r="D59" s="88" t="str">
        <f>VLOOKUP(C59,'MC_CPU-K2-02'!$A$7:$D$72,4,FALSE)</f>
        <v>cx</v>
      </c>
      <c r="E59" s="90"/>
      <c r="F59" s="88"/>
      <c r="G59" s="92">
        <f t="shared" si="2"/>
        <v>0</v>
      </c>
    </row>
    <row r="60" spans="1:7" x14ac:dyDescent="0.3">
      <c r="A60" s="86" t="s">
        <v>637</v>
      </c>
      <c r="B60" s="86" t="s">
        <v>109</v>
      </c>
      <c r="C60" s="91" t="str">
        <f>VLOOKUP(A60,'K2_Insumos-Adm'!$B$8:$H$24,2,FALSE)</f>
        <v>DVD (pino com 50und)</v>
      </c>
      <c r="D60" s="88" t="str">
        <f>VLOOKUP(C60,'MC_CPU-K2-02'!$A$7:$D$72,4,FALSE)</f>
        <v>cx</v>
      </c>
      <c r="E60" s="90"/>
      <c r="F60" s="88"/>
      <c r="G60" s="92">
        <f t="shared" si="2"/>
        <v>0</v>
      </c>
    </row>
    <row r="61" spans="1:7" x14ac:dyDescent="0.3">
      <c r="A61" s="86" t="s">
        <v>638</v>
      </c>
      <c r="B61" s="86" t="s">
        <v>109</v>
      </c>
      <c r="C61" s="91" t="str">
        <f>VLOOKUP(A61,'K2_Insumos-Adm'!$B$8:$H$24,2,FALSE)</f>
        <v>Papel A3 (pacotes com 500 folhas)</v>
      </c>
      <c r="D61" s="88" t="str">
        <f>VLOOKUP(C61,'MC_CPU-K2-02'!$A$7:$D$72,4,FALSE)</f>
        <v>pct</v>
      </c>
      <c r="E61" s="90"/>
      <c r="F61" s="88"/>
      <c r="G61" s="92">
        <f t="shared" si="2"/>
        <v>0</v>
      </c>
    </row>
    <row r="62" spans="1:7" x14ac:dyDescent="0.3">
      <c r="A62" s="86" t="s">
        <v>617</v>
      </c>
      <c r="B62" s="86" t="s">
        <v>109</v>
      </c>
      <c r="C62" s="91" t="str">
        <f>VLOOKUP(A62,'K2_Insumos-Café'!$B$8:$L$12,2,FALSE)</f>
        <v>Água mineral c/ 20l</v>
      </c>
      <c r="D62" s="88" t="str">
        <f>VLOOKUP(C62,'MC_CPU-K2-02'!$A$7:$D$72,4,FALSE)</f>
        <v>gl</v>
      </c>
      <c r="E62" s="90"/>
      <c r="F62" s="88"/>
      <c r="G62" s="92">
        <f t="shared" ref="G62:G66" si="3">F62*E62</f>
        <v>0</v>
      </c>
    </row>
    <row r="63" spans="1:7" x14ac:dyDescent="0.3">
      <c r="A63" s="86" t="s">
        <v>618</v>
      </c>
      <c r="B63" s="86" t="s">
        <v>109</v>
      </c>
      <c r="C63" s="91" t="str">
        <f>VLOOKUP(A63,'K2_Insumos-Café'!$B$8:$L$12,2,FALSE)</f>
        <v>Café moído (pacote 500g)</v>
      </c>
      <c r="D63" s="88" t="str">
        <f>VLOOKUP(C63,'MC_CPU-K2-02'!$A$7:$D$72,4,FALSE)</f>
        <v>und</v>
      </c>
      <c r="E63" s="90"/>
      <c r="F63" s="88"/>
      <c r="G63" s="92">
        <f t="shared" si="3"/>
        <v>0</v>
      </c>
    </row>
    <row r="64" spans="1:7" ht="16.2" customHeight="1" x14ac:dyDescent="0.3">
      <c r="A64" s="86" t="s">
        <v>619</v>
      </c>
      <c r="B64" s="86" t="s">
        <v>109</v>
      </c>
      <c r="C64" s="91" t="str">
        <f>VLOOKUP(A64,'K2_Insumos-Café'!$B$8:$L$12,2,FALSE)</f>
        <v>Açucar (pacote 5kg)</v>
      </c>
      <c r="D64" s="88" t="str">
        <f>VLOOKUP(C64,'MC_CPU-K2-02'!$A$7:$D$72,4,FALSE)</f>
        <v>pct</v>
      </c>
      <c r="E64" s="90"/>
      <c r="F64" s="88"/>
      <c r="G64" s="92">
        <f t="shared" si="3"/>
        <v>0</v>
      </c>
    </row>
    <row r="65" spans="1:7" x14ac:dyDescent="0.3">
      <c r="A65" s="86" t="s">
        <v>620</v>
      </c>
      <c r="B65" s="86" t="s">
        <v>109</v>
      </c>
      <c r="C65" s="91" t="str">
        <f>VLOOKUP(A65,'K2_Insumos-Café'!$B$8:$L$12,2,FALSE)</f>
        <v>Copo descartável 200ml (caixa com 2500und)</v>
      </c>
      <c r="D65" s="88" t="str">
        <f>VLOOKUP(C65,'MC_CPU-K2-02'!$A$7:$D$72,4,FALSE)</f>
        <v>cx</v>
      </c>
      <c r="E65" s="90"/>
      <c r="F65" s="88"/>
      <c r="G65" s="92">
        <f t="shared" si="3"/>
        <v>0</v>
      </c>
    </row>
    <row r="66" spans="1:7" x14ac:dyDescent="0.3">
      <c r="A66" s="86" t="s">
        <v>621</v>
      </c>
      <c r="B66" s="86" t="s">
        <v>109</v>
      </c>
      <c r="C66" s="91" t="str">
        <f>VLOOKUP(A66,'K2_Insumos-Café'!$B$8:$L$12,2,FALSE)</f>
        <v>Copo descartável 50ml (caixa com 5000und)</v>
      </c>
      <c r="D66" s="88" t="str">
        <f>VLOOKUP(C66,'MC_CPU-K2-02'!$A$7:$D$72,4,FALSE)</f>
        <v>cx</v>
      </c>
      <c r="E66" s="90"/>
      <c r="F66" s="88"/>
      <c r="G66" s="92">
        <f t="shared" si="3"/>
        <v>0</v>
      </c>
    </row>
    <row r="67" spans="1:7" x14ac:dyDescent="0.3">
      <c r="A67" s="405" t="s">
        <v>333</v>
      </c>
      <c r="B67" s="406"/>
      <c r="C67" s="406"/>
      <c r="D67" s="406"/>
      <c r="E67" s="406"/>
      <c r="F67" s="407"/>
      <c r="G67" s="94">
        <f>TRUNC(SUM(G45:G66),2)</f>
        <v>0</v>
      </c>
    </row>
    <row r="68" spans="1:7" x14ac:dyDescent="0.3">
      <c r="A68" s="408"/>
      <c r="B68" s="409"/>
      <c r="C68" s="409"/>
      <c r="D68" s="409"/>
      <c r="E68" s="409"/>
      <c r="F68" s="409"/>
      <c r="G68" s="410"/>
    </row>
    <row r="69" spans="1:7" x14ac:dyDescent="0.3">
      <c r="A69" s="5" t="s">
        <v>50</v>
      </c>
      <c r="B69" s="5" t="s">
        <v>324</v>
      </c>
      <c r="C69" s="5" t="s">
        <v>334</v>
      </c>
      <c r="D69" s="5" t="s">
        <v>326</v>
      </c>
      <c r="E69" s="5" t="s">
        <v>280</v>
      </c>
      <c r="F69" s="5" t="s">
        <v>327</v>
      </c>
      <c r="G69" s="5" t="s">
        <v>722</v>
      </c>
    </row>
    <row r="70" spans="1:7" x14ac:dyDescent="0.3">
      <c r="A70" s="86"/>
      <c r="B70" s="86"/>
      <c r="C70" s="91"/>
      <c r="D70" s="88"/>
      <c r="E70" s="90"/>
      <c r="F70" s="88"/>
      <c r="G70" s="92">
        <f>F70*E70</f>
        <v>0</v>
      </c>
    </row>
    <row r="71" spans="1:7" x14ac:dyDescent="0.3">
      <c r="A71" s="86"/>
      <c r="B71" s="86"/>
      <c r="C71" s="91"/>
      <c r="D71" s="86"/>
      <c r="E71" s="90"/>
      <c r="F71" s="88"/>
      <c r="G71" s="92">
        <f>F71*E71</f>
        <v>0</v>
      </c>
    </row>
    <row r="72" spans="1:7" x14ac:dyDescent="0.3">
      <c r="A72" s="405" t="s">
        <v>335</v>
      </c>
      <c r="B72" s="406"/>
      <c r="C72" s="406"/>
      <c r="D72" s="406"/>
      <c r="E72" s="406"/>
      <c r="F72" s="407"/>
      <c r="G72" s="93">
        <f>SUM(G70:G71)</f>
        <v>0</v>
      </c>
    </row>
    <row r="73" spans="1:7" x14ac:dyDescent="0.3">
      <c r="A73" s="369"/>
      <c r="B73" s="370"/>
      <c r="C73" s="370"/>
      <c r="D73" s="370"/>
      <c r="E73" s="370"/>
      <c r="F73" s="370"/>
      <c r="G73" s="371"/>
    </row>
    <row r="74" spans="1:7" x14ac:dyDescent="0.3">
      <c r="A74" s="494" t="s">
        <v>336</v>
      </c>
      <c r="B74" s="494"/>
      <c r="C74" s="494"/>
      <c r="D74" s="494"/>
      <c r="E74" s="494"/>
      <c r="F74" s="494"/>
      <c r="G74" s="95">
        <f>ROUND(G72+G67+G42,2)</f>
        <v>0</v>
      </c>
    </row>
    <row r="75" spans="1:7" x14ac:dyDescent="0.3">
      <c r="A75" s="369"/>
      <c r="B75" s="370"/>
      <c r="C75" s="370"/>
      <c r="D75" s="370"/>
      <c r="E75" s="370"/>
      <c r="F75" s="370"/>
      <c r="G75" s="371"/>
    </row>
  </sheetData>
  <mergeCells count="25">
    <mergeCell ref="A75:G75"/>
    <mergeCell ref="A34:F34"/>
    <mergeCell ref="A35:G35"/>
    <mergeCell ref="C37:E37"/>
    <mergeCell ref="A38:G38"/>
    <mergeCell ref="A42:F42"/>
    <mergeCell ref="A43:G43"/>
    <mergeCell ref="C36:E36"/>
    <mergeCell ref="A67:F67"/>
    <mergeCell ref="A68:G68"/>
    <mergeCell ref="A72:F72"/>
    <mergeCell ref="A73:G73"/>
    <mergeCell ref="A74:F74"/>
    <mergeCell ref="G5:J5"/>
    <mergeCell ref="A1:B5"/>
    <mergeCell ref="A33:G33"/>
    <mergeCell ref="I6:J6"/>
    <mergeCell ref="A8:G8"/>
    <mergeCell ref="C6:E6"/>
    <mergeCell ref="C7:E7"/>
    <mergeCell ref="A27:F27"/>
    <mergeCell ref="A13:G13"/>
    <mergeCell ref="A12:F12"/>
    <mergeCell ref="A28:G28"/>
    <mergeCell ref="A32:F32"/>
  </mergeCells>
  <phoneticPr fontId="51" type="noConversion"/>
  <pageMargins left="0.51181102362204722" right="0.51181102362204722" top="0.78740157480314965" bottom="1.0629921259842521" header="0.31496062992125984" footer="0.31496062992125984"/>
  <pageSetup paperSize="9" scale="90" fitToWidth="0" fitToHeight="0" orientation="portrait" r:id="rId1"/>
  <headerFooter>
    <oddFooter>&amp;RPrefeitura Municipal de Colatina
Travessa Avelino Guerra, 111, Sagrado Coração de Jesus
Telefone: (27) 3177-7000 | https://colatina.es.gov.br/</oddFooter>
  </headerFooter>
  <rowBreaks count="1" manualBreakCount="1">
    <brk id="35" max="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H32"/>
  <sheetViews>
    <sheetView view="pageBreakPreview" zoomScaleNormal="100" zoomScaleSheetLayoutView="100" workbookViewId="0">
      <selection activeCell="N34" sqref="N34"/>
    </sheetView>
  </sheetViews>
  <sheetFormatPr defaultColWidth="8.88671875" defaultRowHeight="15.6" x14ac:dyDescent="0.3"/>
  <cols>
    <col min="1" max="1" width="9.5546875" style="30" customWidth="1"/>
    <col min="2" max="2" width="7.44140625" style="30" bestFit="1" customWidth="1"/>
    <col min="3" max="3" width="42.6640625" style="30" customWidth="1"/>
    <col min="4" max="4" width="4.5546875" style="30" bestFit="1" customWidth="1"/>
    <col min="5" max="5" width="15" style="30" customWidth="1"/>
    <col min="6" max="6" width="4.33203125" style="30" bestFit="1" customWidth="1"/>
    <col min="7" max="7" width="9.5546875" style="30" bestFit="1" customWidth="1"/>
    <col min="8" max="8" width="1.109375" style="30" customWidth="1"/>
    <col min="9" max="16384" width="8.88671875" style="30"/>
  </cols>
  <sheetData>
    <row r="1" spans="1:8" x14ac:dyDescent="0.3">
      <c r="A1" s="498"/>
      <c r="B1" s="498"/>
      <c r="C1" s="50" t="str">
        <f>CPU_Serviços!$C$1</f>
        <v>Prefeitura Municipal de Colatina</v>
      </c>
      <c r="D1" s="50"/>
      <c r="E1" s="50"/>
      <c r="F1" s="50"/>
      <c r="G1" s="50"/>
      <c r="H1" s="185"/>
    </row>
    <row r="2" spans="1:8" x14ac:dyDescent="0.3">
      <c r="A2" s="498"/>
      <c r="B2" s="498"/>
      <c r="C2" s="306" t="str">
        <f>CPU_Serviços!$C$2</f>
        <v>Secretaria Municipal de Habitação e Regularização Fundiária</v>
      </c>
      <c r="D2" s="306"/>
      <c r="E2" s="306"/>
      <c r="F2" s="31"/>
      <c r="G2" s="31"/>
      <c r="H2" s="186"/>
    </row>
    <row r="3" spans="1:8" ht="6.6" customHeight="1" x14ac:dyDescent="0.3">
      <c r="A3" s="498"/>
      <c r="B3" s="498"/>
      <c r="H3" s="29"/>
    </row>
    <row r="4" spans="1:8" x14ac:dyDescent="0.3">
      <c r="A4" s="498"/>
      <c r="B4" s="498"/>
      <c r="C4" s="32" t="s">
        <v>735</v>
      </c>
      <c r="D4" s="295"/>
      <c r="E4" s="295"/>
      <c r="F4" s="295"/>
      <c r="G4" s="295"/>
      <c r="H4" s="187"/>
    </row>
    <row r="5" spans="1:8" x14ac:dyDescent="0.3">
      <c r="A5" s="498"/>
      <c r="B5" s="498"/>
      <c r="C5" s="30" t="s">
        <v>47</v>
      </c>
      <c r="H5" s="80"/>
    </row>
    <row r="6" spans="1:8" x14ac:dyDescent="0.3">
      <c r="A6" s="499" t="s">
        <v>48</v>
      </c>
      <c r="B6" s="499"/>
      <c r="C6" s="499" t="s">
        <v>51</v>
      </c>
      <c r="D6" s="499" t="s">
        <v>5</v>
      </c>
      <c r="E6" s="499" t="s">
        <v>52</v>
      </c>
      <c r="F6" s="499" t="s">
        <v>53</v>
      </c>
      <c r="G6" s="499"/>
      <c r="H6" s="495"/>
    </row>
    <row r="7" spans="1:8" x14ac:dyDescent="0.3">
      <c r="A7" s="243" t="s">
        <v>49</v>
      </c>
      <c r="B7" s="243" t="s">
        <v>50</v>
      </c>
      <c r="C7" s="499"/>
      <c r="D7" s="499"/>
      <c r="E7" s="499"/>
      <c r="F7" s="243" t="s">
        <v>5</v>
      </c>
      <c r="G7" s="243" t="s">
        <v>52</v>
      </c>
      <c r="H7" s="496"/>
    </row>
    <row r="8" spans="1:8" x14ac:dyDescent="0.3">
      <c r="A8" s="35" t="s">
        <v>54</v>
      </c>
      <c r="B8" s="35">
        <v>20002</v>
      </c>
      <c r="C8" s="36" t="s">
        <v>56</v>
      </c>
      <c r="D8" s="35" t="s">
        <v>66</v>
      </c>
      <c r="E8" s="282"/>
      <c r="F8" s="35" t="s">
        <v>66</v>
      </c>
      <c r="G8" s="37"/>
      <c r="H8" s="496"/>
    </row>
    <row r="9" spans="1:8" x14ac:dyDescent="0.3">
      <c r="A9" s="35" t="s">
        <v>54</v>
      </c>
      <c r="B9" s="35">
        <v>20007</v>
      </c>
      <c r="C9" s="36" t="s">
        <v>59</v>
      </c>
      <c r="D9" s="35" t="s">
        <v>28</v>
      </c>
      <c r="E9" s="282"/>
      <c r="F9" s="35" t="s">
        <v>66</v>
      </c>
      <c r="G9" s="37"/>
      <c r="H9" s="496"/>
    </row>
    <row r="10" spans="1:8" x14ac:dyDescent="0.3">
      <c r="A10" s="35" t="s">
        <v>54</v>
      </c>
      <c r="B10" s="35">
        <v>20021</v>
      </c>
      <c r="C10" s="36" t="s">
        <v>57</v>
      </c>
      <c r="D10" s="35" t="s">
        <v>28</v>
      </c>
      <c r="E10" s="282"/>
      <c r="F10" s="35" t="s">
        <v>66</v>
      </c>
      <c r="G10" s="37"/>
      <c r="H10" s="496"/>
    </row>
    <row r="11" spans="1:8" x14ac:dyDescent="0.3">
      <c r="A11" s="35" t="s">
        <v>54</v>
      </c>
      <c r="B11" s="35">
        <v>20027</v>
      </c>
      <c r="C11" s="36" t="s">
        <v>73</v>
      </c>
      <c r="D11" s="35" t="s">
        <v>66</v>
      </c>
      <c r="E11" s="282"/>
      <c r="F11" s="35" t="s">
        <v>66</v>
      </c>
      <c r="G11" s="37"/>
      <c r="H11" s="496"/>
    </row>
    <row r="12" spans="1:8" x14ac:dyDescent="0.3">
      <c r="A12" s="35" t="s">
        <v>54</v>
      </c>
      <c r="B12" s="35">
        <v>20028</v>
      </c>
      <c r="C12" s="36" t="s">
        <v>58</v>
      </c>
      <c r="D12" s="35" t="s">
        <v>28</v>
      </c>
      <c r="E12" s="282"/>
      <c r="F12" s="35" t="s">
        <v>66</v>
      </c>
      <c r="G12" s="37"/>
      <c r="H12" s="496"/>
    </row>
    <row r="13" spans="1:8" x14ac:dyDescent="0.3">
      <c r="A13" s="35" t="s">
        <v>54</v>
      </c>
      <c r="B13" s="35">
        <v>20031</v>
      </c>
      <c r="C13" s="36" t="s">
        <v>60</v>
      </c>
      <c r="D13" s="35" t="s">
        <v>28</v>
      </c>
      <c r="E13" s="282"/>
      <c r="F13" s="35" t="s">
        <v>66</v>
      </c>
      <c r="G13" s="37"/>
      <c r="H13" s="496"/>
    </row>
    <row r="14" spans="1:8" x14ac:dyDescent="0.3">
      <c r="A14" s="35" t="s">
        <v>54</v>
      </c>
      <c r="B14" s="35">
        <v>20070</v>
      </c>
      <c r="C14" s="36" t="s">
        <v>61</v>
      </c>
      <c r="D14" s="35" t="s">
        <v>28</v>
      </c>
      <c r="E14" s="282"/>
      <c r="F14" s="35" t="s">
        <v>66</v>
      </c>
      <c r="G14" s="37"/>
      <c r="H14" s="496"/>
    </row>
    <row r="15" spans="1:8" x14ac:dyDescent="0.3">
      <c r="A15" s="35" t="s">
        <v>54</v>
      </c>
      <c r="B15" s="35">
        <v>103584</v>
      </c>
      <c r="C15" s="36" t="s">
        <v>62</v>
      </c>
      <c r="D15" s="35" t="s">
        <v>28</v>
      </c>
      <c r="E15" s="282"/>
      <c r="F15" s="35" t="s">
        <v>66</v>
      </c>
      <c r="G15" s="37"/>
      <c r="H15" s="496"/>
    </row>
    <row r="16" spans="1:8" x14ac:dyDescent="0.3">
      <c r="A16" s="35" t="s">
        <v>55</v>
      </c>
      <c r="B16" s="35">
        <v>244</v>
      </c>
      <c r="C16" s="36" t="s">
        <v>409</v>
      </c>
      <c r="D16" s="35" t="s">
        <v>66</v>
      </c>
      <c r="E16" s="282"/>
      <c r="F16" s="35" t="s">
        <v>66</v>
      </c>
      <c r="G16" s="37"/>
      <c r="H16" s="496"/>
    </row>
    <row r="17" spans="1:8" x14ac:dyDescent="0.3">
      <c r="A17" s="35" t="s">
        <v>55</v>
      </c>
      <c r="B17" s="35">
        <v>532</v>
      </c>
      <c r="C17" s="36" t="s">
        <v>74</v>
      </c>
      <c r="D17" s="35" t="s">
        <v>66</v>
      </c>
      <c r="E17" s="282"/>
      <c r="F17" s="35" t="s">
        <v>66</v>
      </c>
      <c r="G17" s="37"/>
      <c r="H17" s="496"/>
    </row>
    <row r="18" spans="1:8" x14ac:dyDescent="0.3">
      <c r="A18" s="35" t="s">
        <v>55</v>
      </c>
      <c r="B18" s="35">
        <v>2358</v>
      </c>
      <c r="C18" s="36" t="s">
        <v>736</v>
      </c>
      <c r="D18" s="35" t="s">
        <v>66</v>
      </c>
      <c r="E18" s="282"/>
      <c r="F18" s="35" t="s">
        <v>66</v>
      </c>
      <c r="G18" s="37"/>
      <c r="H18" s="496"/>
    </row>
    <row r="19" spans="1:8" x14ac:dyDescent="0.3">
      <c r="A19" s="35" t="s">
        <v>55</v>
      </c>
      <c r="B19" s="35">
        <v>7592</v>
      </c>
      <c r="C19" s="36" t="s">
        <v>75</v>
      </c>
      <c r="D19" s="35" t="s">
        <v>66</v>
      </c>
      <c r="E19" s="282"/>
      <c r="F19" s="35" t="s">
        <v>66</v>
      </c>
      <c r="G19" s="37"/>
      <c r="H19" s="496"/>
    </row>
    <row r="20" spans="1:8" x14ac:dyDescent="0.3">
      <c r="A20" s="35" t="s">
        <v>55</v>
      </c>
      <c r="B20" s="35">
        <v>33952</v>
      </c>
      <c r="C20" s="36" t="s">
        <v>64</v>
      </c>
      <c r="D20" s="35" t="s">
        <v>66</v>
      </c>
      <c r="E20" s="282"/>
      <c r="F20" s="35" t="s">
        <v>66</v>
      </c>
      <c r="G20" s="37"/>
      <c r="H20" s="496"/>
    </row>
    <row r="21" spans="1:8" x14ac:dyDescent="0.3">
      <c r="A21" s="35" t="s">
        <v>55</v>
      </c>
      <c r="B21" s="35">
        <v>2707</v>
      </c>
      <c r="C21" s="36" t="s">
        <v>65</v>
      </c>
      <c r="D21" s="35" t="s">
        <v>66</v>
      </c>
      <c r="E21" s="282"/>
      <c r="F21" s="35" t="s">
        <v>66</v>
      </c>
      <c r="G21" s="37"/>
      <c r="H21" s="496"/>
    </row>
    <row r="22" spans="1:8" x14ac:dyDescent="0.3">
      <c r="A22" s="35" t="s">
        <v>54</v>
      </c>
      <c r="B22" s="35">
        <v>20084</v>
      </c>
      <c r="C22" s="36" t="s">
        <v>415</v>
      </c>
      <c r="D22" s="35" t="s">
        <v>28</v>
      </c>
      <c r="E22" s="282"/>
      <c r="F22" s="35" t="s">
        <v>66</v>
      </c>
      <c r="G22" s="37"/>
      <c r="H22" s="496"/>
    </row>
    <row r="23" spans="1:8" x14ac:dyDescent="0.3">
      <c r="A23" s="35" t="s">
        <v>55</v>
      </c>
      <c r="B23" s="35">
        <v>6175</v>
      </c>
      <c r="C23" s="36" t="s">
        <v>416</v>
      </c>
      <c r="D23" s="35" t="s">
        <v>66</v>
      </c>
      <c r="E23" s="282"/>
      <c r="F23" s="35" t="s">
        <v>66</v>
      </c>
      <c r="G23" s="37"/>
      <c r="H23" s="496"/>
    </row>
    <row r="24" spans="1:8" x14ac:dyDescent="0.3">
      <c r="A24" s="35" t="s">
        <v>446</v>
      </c>
      <c r="B24" s="35">
        <v>1001</v>
      </c>
      <c r="C24" s="36" t="s">
        <v>447</v>
      </c>
      <c r="D24" s="35" t="s">
        <v>28</v>
      </c>
      <c r="E24" s="282"/>
      <c r="F24" s="35" t="s">
        <v>66</v>
      </c>
      <c r="G24" s="37"/>
      <c r="H24" s="497"/>
    </row>
    <row r="26" spans="1:8" x14ac:dyDescent="0.3">
      <c r="A26" s="39" t="s">
        <v>67</v>
      </c>
    </row>
    <row r="27" spans="1:8" x14ac:dyDescent="0.3">
      <c r="A27" s="40" t="s">
        <v>68</v>
      </c>
    </row>
    <row r="28" spans="1:8" x14ac:dyDescent="0.3">
      <c r="A28" s="40" t="s">
        <v>70</v>
      </c>
    </row>
    <row r="29" spans="1:8" x14ac:dyDescent="0.3">
      <c r="A29" s="40" t="s">
        <v>69</v>
      </c>
    </row>
    <row r="30" spans="1:8" x14ac:dyDescent="0.3">
      <c r="A30" s="40" t="s">
        <v>71</v>
      </c>
    </row>
    <row r="31" spans="1:8" ht="15.6" customHeight="1" x14ac:dyDescent="0.3">
      <c r="A31" s="194" t="s">
        <v>818</v>
      </c>
      <c r="B31" s="194"/>
      <c r="C31" s="194"/>
      <c r="D31" s="194"/>
      <c r="E31" s="194"/>
      <c r="F31" s="194"/>
      <c r="G31" s="194"/>
      <c r="H31" s="194"/>
    </row>
    <row r="32" spans="1:8" x14ac:dyDescent="0.3">
      <c r="A32" s="195" t="s">
        <v>448</v>
      </c>
      <c r="B32" s="195"/>
      <c r="C32" s="195"/>
      <c r="D32" s="195"/>
      <c r="E32" s="195"/>
      <c r="F32" s="195"/>
      <c r="G32" s="195"/>
      <c r="H32" s="195"/>
    </row>
  </sheetData>
  <mergeCells count="7">
    <mergeCell ref="H6:H24"/>
    <mergeCell ref="A1:B5"/>
    <mergeCell ref="A6:B6"/>
    <mergeCell ref="C6:C7"/>
    <mergeCell ref="D6:D7"/>
    <mergeCell ref="E6:E7"/>
    <mergeCell ref="F6:G6"/>
  </mergeCells>
  <pageMargins left="0.511811024" right="0.511811024" top="0.78740157499999996" bottom="0.88666666666666671" header="0.31496062000000002" footer="0.31496062000000002"/>
  <pageSetup paperSize="9" fitToHeight="0" orientation="portrait" horizontalDpi="4294967293" r:id="rId1"/>
  <headerFooter>
    <oddFooter>&amp;RPrefeitura Municipal de Colatina
Travessa Avelino Guerra, 111, Sagrado Coração de Jesus
Telefone: (27) 3177-7000 | https://colatina.es.gov.br/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31</vt:i4>
      </vt:variant>
      <vt:variant>
        <vt:lpstr>Intervalos Nomeados</vt:lpstr>
      </vt:variant>
      <vt:variant>
        <vt:i4>37</vt:i4>
      </vt:variant>
    </vt:vector>
  </HeadingPairs>
  <TitlesOfParts>
    <vt:vector size="68" baseType="lpstr">
      <vt:lpstr>Planilha Orçamentária</vt:lpstr>
      <vt:lpstr>Memória de Cálculo</vt:lpstr>
      <vt:lpstr>Apoio ao Cronograma</vt:lpstr>
      <vt:lpstr>Cronograma</vt:lpstr>
      <vt:lpstr>CPU_Serviços</vt:lpstr>
      <vt:lpstr>FATOR_K</vt:lpstr>
      <vt:lpstr>K2 (ADM_LOCAL)</vt:lpstr>
      <vt:lpstr>K2_CPU</vt:lpstr>
      <vt:lpstr>CPU-Insumos_MO</vt:lpstr>
      <vt:lpstr>CPU-Insumos_DD</vt:lpstr>
      <vt:lpstr>Cotação de Mercado</vt:lpstr>
      <vt:lpstr>K2_Insumos-Escrit.</vt:lpstr>
      <vt:lpstr>K2_Insumos-Escrit. - Deprec.</vt:lpstr>
      <vt:lpstr>K2_Insumos-Limp.</vt:lpstr>
      <vt:lpstr>MC_CPU-K2-01</vt:lpstr>
      <vt:lpstr>K2_Insumos-Adm</vt:lpstr>
      <vt:lpstr>K2_Insumos-Café</vt:lpstr>
      <vt:lpstr>MC_CPU-K2-02</vt:lpstr>
      <vt:lpstr>MC_CPU.001</vt:lpstr>
      <vt:lpstr>MC_CPU.002</vt:lpstr>
      <vt:lpstr>MC_CPU.003</vt:lpstr>
      <vt:lpstr>MC_CPU.004</vt:lpstr>
      <vt:lpstr>MC_CPU.005</vt:lpstr>
      <vt:lpstr>MC_CPU.005A</vt:lpstr>
      <vt:lpstr>MC_CPU.006</vt:lpstr>
      <vt:lpstr>MC_CPU.007</vt:lpstr>
      <vt:lpstr>MC_CPU.008</vt:lpstr>
      <vt:lpstr>MC_CPU.009</vt:lpstr>
      <vt:lpstr>MC_CPU.010</vt:lpstr>
      <vt:lpstr>MC_CPU.011</vt:lpstr>
      <vt:lpstr>MC_CPU.012</vt:lpstr>
      <vt:lpstr>'Cotação de Mercado'!Area_de_impressao</vt:lpstr>
      <vt:lpstr>CPU_Serviços!Area_de_impressao</vt:lpstr>
      <vt:lpstr>'CPU-Insumos_DD'!Area_de_impressao</vt:lpstr>
      <vt:lpstr>'CPU-Insumos_MO'!Area_de_impressao</vt:lpstr>
      <vt:lpstr>Cronograma!Area_de_impressao</vt:lpstr>
      <vt:lpstr>FATOR_K!Area_de_impressao</vt:lpstr>
      <vt:lpstr>'K2 (ADM_LOCAL)'!Area_de_impressao</vt:lpstr>
      <vt:lpstr>K2_CPU!Area_de_impressao</vt:lpstr>
      <vt:lpstr>'K2_Insumos-Adm'!Area_de_impressao</vt:lpstr>
      <vt:lpstr>'K2_Insumos-Café'!Area_de_impressao</vt:lpstr>
      <vt:lpstr>'K2_Insumos-Escrit.'!Area_de_impressao</vt:lpstr>
      <vt:lpstr>'K2_Insumos-Escrit. - Deprec.'!Area_de_impressao</vt:lpstr>
      <vt:lpstr>'K2_Insumos-Limp.'!Area_de_impressao</vt:lpstr>
      <vt:lpstr>MC_CPU.001!Area_de_impressao</vt:lpstr>
      <vt:lpstr>MC_CPU.002!Area_de_impressao</vt:lpstr>
      <vt:lpstr>MC_CPU.003!Area_de_impressao</vt:lpstr>
      <vt:lpstr>MC_CPU.004!Area_de_impressao</vt:lpstr>
      <vt:lpstr>MC_CPU.005!Area_de_impressao</vt:lpstr>
      <vt:lpstr>MC_CPU.005A!Area_de_impressao</vt:lpstr>
      <vt:lpstr>MC_CPU.006!Area_de_impressao</vt:lpstr>
      <vt:lpstr>MC_CPU.007!Area_de_impressao</vt:lpstr>
      <vt:lpstr>MC_CPU.008!Area_de_impressao</vt:lpstr>
      <vt:lpstr>MC_CPU.009!Area_de_impressao</vt:lpstr>
      <vt:lpstr>MC_CPU.010!Area_de_impressao</vt:lpstr>
      <vt:lpstr>MC_CPU.011!Area_de_impressao</vt:lpstr>
      <vt:lpstr>MC_CPU.012!Area_de_impressao</vt:lpstr>
      <vt:lpstr>'MC_CPU-K2-01'!Area_de_impressao</vt:lpstr>
      <vt:lpstr>'MC_CPU-K2-02'!Area_de_impressao</vt:lpstr>
      <vt:lpstr>'Memória de Cálculo'!Area_de_impressao</vt:lpstr>
      <vt:lpstr>'Planilha Orçamentária'!Area_de_impressao</vt:lpstr>
      <vt:lpstr>CPU_Serviços!Titulos_de_impressao</vt:lpstr>
      <vt:lpstr>Cronograma!Titulos_de_impressao</vt:lpstr>
      <vt:lpstr>K2_CPU!Titulos_de_impressao</vt:lpstr>
      <vt:lpstr>'K2_Insumos-Adm'!Titulos_de_impressao</vt:lpstr>
      <vt:lpstr>'K2_Insumos-Escrit.'!Titulos_de_impressao</vt:lpstr>
      <vt:lpstr>'Memória de Cálculo'!Titulos_de_impressao</vt:lpstr>
      <vt:lpstr>'Planilha Orçamentária'!Titulos_de_impressao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Engenharia Tecsystem</cp:lastModifiedBy>
  <cp:lastPrinted>2025-10-23T13:42:08Z</cp:lastPrinted>
  <dcterms:created xsi:type="dcterms:W3CDTF">2013-05-06T17:13:09Z</dcterms:created>
  <dcterms:modified xsi:type="dcterms:W3CDTF">2025-12-22T18:41:57Z</dcterms:modified>
</cp:coreProperties>
</file>